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irdwaydc-my.sharepoint.com/personal/kmurdock_thirdway_org/Documents/Documents/SP&amp;P/Writing/Crime/Red State Murder Problem Continues/"/>
    </mc:Choice>
  </mc:AlternateContent>
  <xr:revisionPtr revIDLastSave="1274" documentId="13_ncr:40009_{2A99D176-6EA0-495E-8173-F9A0007675FC}" xr6:coauthVersionLast="47" xr6:coauthVersionMax="47" xr10:uidLastSave="{72A8F67E-53A2-4D99-8A05-74162EDBC3D7}"/>
  <bookViews>
    <workbookView xWindow="-110" yWindow="-110" windowWidth="19420" windowHeight="10420" xr2:uid="{00000000-000D-0000-FFFF-FFFF00000000}"/>
  </bookViews>
  <sheets>
    <sheet name="2021" sheetId="1" r:id="rId1"/>
    <sheet name="21 Red v Blue" sheetId="2" r:id="rId2"/>
    <sheet name="2022" sheetId="6" r:id="rId3"/>
    <sheet name="22 Red v Blue" sheetId="7" r:id="rId4"/>
    <sheet name="State + Local Spending" sheetId="3" r:id="rId5"/>
    <sheet name="Spending Red Blue" sheetId="5" r:id="rId6"/>
  </sheets>
  <definedNames>
    <definedName name="_xlnm._FilterDatabase" localSheetId="0" hidden="1">'2021'!$A$1:$L$1</definedName>
    <definedName name="_xlnm._FilterDatabase" localSheetId="2" hidden="1">'2022'!$A$1:$K$1</definedName>
    <definedName name="_xlnm._FilterDatabase" localSheetId="1" hidden="1">'21 Red v Blue'!$A$1:$G$1</definedName>
    <definedName name="_xlnm._FilterDatabase" localSheetId="3" hidden="1">'22 Red v Blue'!$A$1:$G$1</definedName>
    <definedName name="_xlnm._FilterDatabase" localSheetId="5" hidden="1">'Spending Red Blue'!$A$1:$E$1</definedName>
    <definedName name="_xlnm._FilterDatabase" localSheetId="4" hidden="1">'State + Local Spending'!$A$1:$F$1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6" l="1"/>
  <c r="D53" i="7" l="1"/>
  <c r="D54" i="7" s="1"/>
  <c r="C53" i="2"/>
  <c r="D54" i="2"/>
  <c r="D53" i="2"/>
  <c r="K53" i="6" l="1"/>
  <c r="K46" i="6"/>
  <c r="K45" i="6"/>
  <c r="J49" i="6"/>
  <c r="I49" i="6"/>
  <c r="I43" i="6"/>
  <c r="J43" i="6"/>
  <c r="K39" i="6"/>
  <c r="J41" i="6"/>
  <c r="I41" i="6"/>
  <c r="K41" i="6" s="1"/>
  <c r="I34" i="6"/>
  <c r="J34" i="6"/>
  <c r="J29" i="6"/>
  <c r="K29" i="6" s="1"/>
  <c r="I29" i="6"/>
  <c r="I28" i="6"/>
  <c r="J28" i="6"/>
  <c r="K28" i="6" s="1"/>
  <c r="J27" i="6"/>
  <c r="I27" i="6"/>
  <c r="K27" i="6" s="1"/>
  <c r="J26" i="6"/>
  <c r="I26" i="6"/>
  <c r="K26" i="6" s="1"/>
  <c r="J22" i="6"/>
  <c r="K22" i="6" s="1"/>
  <c r="I22" i="6"/>
  <c r="J21" i="6"/>
  <c r="I21" i="6"/>
  <c r="K21" i="6" s="1"/>
  <c r="J20" i="6"/>
  <c r="I20" i="6"/>
  <c r="K20" i="6" s="1"/>
  <c r="J18" i="6"/>
  <c r="I18" i="6"/>
  <c r="K18" i="6" s="1"/>
  <c r="J16" i="6"/>
  <c r="K16" i="6" s="1"/>
  <c r="I16" i="6"/>
  <c r="J14" i="6"/>
  <c r="I14" i="6"/>
  <c r="K14" i="6" s="1"/>
  <c r="J11" i="6"/>
  <c r="I11" i="6"/>
  <c r="K11" i="6" s="1"/>
  <c r="J10" i="6"/>
  <c r="K10" i="6" s="1"/>
  <c r="I10" i="6"/>
  <c r="J9" i="6"/>
  <c r="I9" i="6"/>
  <c r="K9" i="6" s="1"/>
  <c r="J8" i="6"/>
  <c r="I8" i="6"/>
  <c r="K8" i="6" s="1"/>
  <c r="J4" i="6"/>
  <c r="I4" i="6"/>
  <c r="J3" i="6"/>
  <c r="I3" i="6"/>
  <c r="J6" i="6"/>
  <c r="I6" i="6"/>
  <c r="K6" i="6" s="1"/>
  <c r="J30" i="1"/>
  <c r="I30" i="1"/>
  <c r="J26" i="1"/>
  <c r="I26" i="1"/>
  <c r="J14" i="1"/>
  <c r="I14" i="1"/>
  <c r="J9" i="1"/>
  <c r="I9" i="1"/>
  <c r="J8" i="1"/>
  <c r="I8" i="1"/>
  <c r="J6" i="1"/>
  <c r="I6" i="1"/>
  <c r="J4" i="1"/>
  <c r="I4" i="1"/>
  <c r="J3" i="1"/>
  <c r="I3" i="1"/>
  <c r="J2" i="6"/>
  <c r="I2" i="6"/>
  <c r="I53" i="6" s="1"/>
  <c r="D53" i="6"/>
  <c r="C53" i="6"/>
  <c r="D54" i="6" s="1"/>
  <c r="K3" i="6" l="1"/>
  <c r="K43" i="6"/>
  <c r="K4" i="6"/>
  <c r="K34" i="6"/>
  <c r="K49" i="6"/>
  <c r="K55" i="6"/>
  <c r="J53" i="6"/>
  <c r="K2" i="6"/>
  <c r="G53" i="7"/>
  <c r="F53" i="7"/>
  <c r="G55" i="7" s="1"/>
  <c r="F49" i="7"/>
  <c r="F32" i="7"/>
  <c r="F51" i="7"/>
  <c r="F31" i="7"/>
  <c r="F42" i="7"/>
  <c r="F41" i="7"/>
  <c r="F39" i="7"/>
  <c r="F34" i="7"/>
  <c r="F46" i="7"/>
  <c r="F50" i="7"/>
  <c r="F30" i="7"/>
  <c r="F35" i="7"/>
  <c r="F43" i="7"/>
  <c r="F48" i="7"/>
  <c r="F44" i="7"/>
  <c r="F33" i="7"/>
  <c r="F40" i="7"/>
  <c r="F27" i="7"/>
  <c r="F29" i="7"/>
  <c r="F47" i="7"/>
  <c r="F45" i="7"/>
  <c r="F37" i="7"/>
  <c r="F28" i="7"/>
  <c r="F36" i="7"/>
  <c r="F38" i="7"/>
  <c r="G7" i="7"/>
  <c r="G9" i="7"/>
  <c r="G11" i="7"/>
  <c r="G2" i="7"/>
  <c r="G21" i="7"/>
  <c r="G18" i="7"/>
  <c r="G13" i="7"/>
  <c r="G23" i="7"/>
  <c r="G4" i="7"/>
  <c r="G6" i="7"/>
  <c r="G3" i="7"/>
  <c r="G26" i="7"/>
  <c r="G25" i="7"/>
  <c r="G20" i="7"/>
  <c r="G19" i="7"/>
  <c r="G5" i="7"/>
  <c r="G24" i="7"/>
  <c r="G14" i="7"/>
  <c r="G16" i="7"/>
  <c r="G8" i="7"/>
  <c r="G12" i="7"/>
  <c r="G22" i="7"/>
  <c r="G10" i="7"/>
  <c r="G15" i="7"/>
  <c r="G17" i="7"/>
  <c r="E4" i="6"/>
  <c r="G4" i="6" s="1"/>
  <c r="E10" i="6"/>
  <c r="G10" i="6" s="1"/>
  <c r="E15" i="6"/>
  <c r="G15" i="6" s="1"/>
  <c r="E31" i="6"/>
  <c r="G31" i="6" s="1"/>
  <c r="E25" i="6"/>
  <c r="G25" i="6" s="1"/>
  <c r="E37" i="6"/>
  <c r="G37" i="6" s="1"/>
  <c r="E30" i="6"/>
  <c r="G30" i="6" s="1"/>
  <c r="E26" i="6"/>
  <c r="G26" i="6" s="1"/>
  <c r="E7" i="6"/>
  <c r="G7" i="6" s="1"/>
  <c r="E44" i="6"/>
  <c r="G44" i="6" s="1"/>
  <c r="E43" i="6"/>
  <c r="G43" i="6" s="1"/>
  <c r="E46" i="6"/>
  <c r="G46" i="6" s="1"/>
  <c r="E12" i="6"/>
  <c r="G12" i="6" s="1"/>
  <c r="E16" i="6"/>
  <c r="G16" i="6" s="1"/>
  <c r="E29" i="6"/>
  <c r="G29" i="6" s="1"/>
  <c r="E22" i="6"/>
  <c r="G22" i="6" s="1"/>
  <c r="E3" i="6"/>
  <c r="G3" i="6" s="1"/>
  <c r="E50" i="6"/>
  <c r="G50" i="6" s="1"/>
  <c r="E13" i="6"/>
  <c r="G13" i="6" s="1"/>
  <c r="E47" i="6"/>
  <c r="G47" i="6" s="1"/>
  <c r="E23" i="6"/>
  <c r="G23" i="6" s="1"/>
  <c r="E40" i="6"/>
  <c r="G40" i="6" s="1"/>
  <c r="E6" i="6"/>
  <c r="G6" i="6" s="1"/>
  <c r="E2" i="6"/>
  <c r="G2" i="6" s="1"/>
  <c r="E34" i="6"/>
  <c r="G34" i="6" s="1"/>
  <c r="E14" i="6"/>
  <c r="G14" i="6" s="1"/>
  <c r="E39" i="6"/>
  <c r="G39" i="6" s="1"/>
  <c r="E41" i="6"/>
  <c r="G41" i="6" s="1"/>
  <c r="E51" i="6"/>
  <c r="G51" i="6" s="1"/>
  <c r="E42" i="6"/>
  <c r="G42" i="6" s="1"/>
  <c r="E5" i="6"/>
  <c r="G5" i="6" s="1"/>
  <c r="E19" i="6"/>
  <c r="G19" i="6" s="1"/>
  <c r="E36" i="6"/>
  <c r="G36" i="6" s="1"/>
  <c r="E21" i="6"/>
  <c r="G21" i="6" s="1"/>
  <c r="E18" i="6"/>
  <c r="G18" i="6" s="1"/>
  <c r="E35" i="6"/>
  <c r="G35" i="6" s="1"/>
  <c r="E17" i="6"/>
  <c r="G17" i="6" s="1"/>
  <c r="E48" i="6"/>
  <c r="G48" i="6" s="1"/>
  <c r="E8" i="6"/>
  <c r="G8" i="6" s="1"/>
  <c r="E28" i="6"/>
  <c r="G28" i="6" s="1"/>
  <c r="E9" i="6"/>
  <c r="G9" i="6" s="1"/>
  <c r="E20" i="6"/>
  <c r="G20" i="6" s="1"/>
  <c r="E49" i="6"/>
  <c r="G49" i="6" s="1"/>
  <c r="E24" i="6"/>
  <c r="G24" i="6" s="1"/>
  <c r="E38" i="6"/>
  <c r="G38" i="6" s="1"/>
  <c r="E33" i="6"/>
  <c r="G33" i="6" s="1"/>
  <c r="E32" i="6"/>
  <c r="G32" i="6" s="1"/>
  <c r="E27" i="6"/>
  <c r="G27" i="6" s="1"/>
  <c r="E45" i="6"/>
  <c r="G45" i="6" s="1"/>
  <c r="E11" i="6"/>
  <c r="G11" i="6" s="1"/>
  <c r="D53" i="1"/>
  <c r="C53" i="1"/>
  <c r="G51" i="3"/>
  <c r="F5" i="3"/>
  <c r="F7" i="3"/>
  <c r="F10" i="3"/>
  <c r="F13" i="3"/>
  <c r="F14" i="3"/>
  <c r="F15" i="3"/>
  <c r="F22" i="3"/>
  <c r="F23" i="3"/>
  <c r="F31" i="3"/>
  <c r="F32" i="3"/>
  <c r="F34" i="3"/>
  <c r="F37" i="3"/>
  <c r="F38" i="3"/>
  <c r="F39" i="3"/>
  <c r="F40" i="3"/>
  <c r="F46" i="3"/>
  <c r="F48" i="3"/>
  <c r="F50" i="3"/>
  <c r="G25" i="1"/>
  <c r="I2" i="1"/>
  <c r="J2" i="1"/>
  <c r="G4" i="1"/>
  <c r="G12" i="1"/>
  <c r="G23" i="1"/>
  <c r="G27" i="1"/>
  <c r="G29" i="1"/>
  <c r="G35" i="1"/>
  <c r="G13" i="1"/>
  <c r="G26" i="1"/>
  <c r="G11" i="1"/>
  <c r="G45" i="1"/>
  <c r="I12" i="1"/>
  <c r="J12" i="1"/>
  <c r="G43" i="1"/>
  <c r="G48" i="1"/>
  <c r="G7" i="1"/>
  <c r="I15" i="1"/>
  <c r="J15" i="1"/>
  <c r="G15" i="1"/>
  <c r="I16" i="1"/>
  <c r="J16" i="1"/>
  <c r="G30" i="1"/>
  <c r="I17" i="1"/>
  <c r="J17" i="1"/>
  <c r="G16" i="1"/>
  <c r="I18" i="1"/>
  <c r="J18" i="1"/>
  <c r="G3" i="1"/>
  <c r="G47" i="1"/>
  <c r="G10" i="1"/>
  <c r="G49" i="1"/>
  <c r="I22" i="1"/>
  <c r="J22" i="1"/>
  <c r="G21" i="1"/>
  <c r="G39" i="1"/>
  <c r="G8" i="1"/>
  <c r="I25" i="1"/>
  <c r="J25" i="1"/>
  <c r="G2" i="1"/>
  <c r="G38" i="1"/>
  <c r="G14" i="1"/>
  <c r="I28" i="1"/>
  <c r="J28" i="1"/>
  <c r="G42" i="1"/>
  <c r="G41" i="1"/>
  <c r="E51" i="1"/>
  <c r="G51" i="1" s="1"/>
  <c r="G36" i="1"/>
  <c r="I32" i="1"/>
  <c r="J32" i="1"/>
  <c r="G5" i="1"/>
  <c r="G19" i="1"/>
  <c r="G34" i="1"/>
  <c r="G17" i="1"/>
  <c r="G18" i="1"/>
  <c r="G33" i="1"/>
  <c r="I38" i="1"/>
  <c r="J38" i="1"/>
  <c r="G20" i="1"/>
  <c r="G40" i="1"/>
  <c r="G6" i="1"/>
  <c r="I41" i="1"/>
  <c r="J41" i="1"/>
  <c r="G32" i="1"/>
  <c r="G9" i="1"/>
  <c r="I43" i="1"/>
  <c r="J43" i="1"/>
  <c r="G22" i="1"/>
  <c r="G46" i="1"/>
  <c r="G24" i="1"/>
  <c r="I46" i="1"/>
  <c r="J46" i="1"/>
  <c r="E50" i="1"/>
  <c r="G50" i="1" s="1"/>
  <c r="G37" i="1"/>
  <c r="G31" i="1"/>
  <c r="G28" i="1"/>
  <c r="G44" i="1"/>
  <c r="L3" i="5"/>
  <c r="J4" i="5"/>
  <c r="I4" i="5"/>
  <c r="H4" i="5"/>
  <c r="J3" i="5"/>
  <c r="I3" i="5"/>
  <c r="H3" i="5"/>
  <c r="E50" i="3"/>
  <c r="E15" i="3"/>
  <c r="E2" i="3"/>
  <c r="F2" i="3" s="1"/>
  <c r="E13" i="3"/>
  <c r="E21" i="3"/>
  <c r="F21" i="3" s="1"/>
  <c r="E16" i="3"/>
  <c r="F16" i="3" s="1"/>
  <c r="E6" i="3"/>
  <c r="F6" i="3" s="1"/>
  <c r="E36" i="3"/>
  <c r="F36" i="3" s="1"/>
  <c r="E14" i="3"/>
  <c r="E37" i="3"/>
  <c r="E42" i="3"/>
  <c r="F42" i="3" s="1"/>
  <c r="E7" i="3"/>
  <c r="E49" i="3"/>
  <c r="F49" i="3" s="1"/>
  <c r="E17" i="3"/>
  <c r="F17" i="3" s="1"/>
  <c r="E51" i="3"/>
  <c r="F51" i="3" s="1"/>
  <c r="E28" i="3"/>
  <c r="F28" i="3" s="1"/>
  <c r="E25" i="3"/>
  <c r="F25" i="3" s="1"/>
  <c r="E5" i="3"/>
  <c r="E48" i="3"/>
  <c r="E39" i="3"/>
  <c r="E11" i="3"/>
  <c r="F11" i="3" s="1"/>
  <c r="E29" i="3"/>
  <c r="F29" i="3" s="1"/>
  <c r="E45" i="3"/>
  <c r="F45" i="3" s="1"/>
  <c r="E30" i="3"/>
  <c r="F30" i="3" s="1"/>
  <c r="E22" i="3"/>
  <c r="E23" i="3"/>
  <c r="E41" i="3"/>
  <c r="F41" i="3" s="1"/>
  <c r="E26" i="3"/>
  <c r="F26" i="3" s="1"/>
  <c r="E9" i="3"/>
  <c r="F9" i="3" s="1"/>
  <c r="E24" i="3"/>
  <c r="F24" i="3" s="1"/>
  <c r="E8" i="3"/>
  <c r="F8" i="3" s="1"/>
  <c r="E4" i="3"/>
  <c r="F4" i="3" s="1"/>
  <c r="E34" i="3"/>
  <c r="E38" i="3"/>
  <c r="E18" i="3"/>
  <c r="F18" i="3" s="1"/>
  <c r="E19" i="3"/>
  <c r="F19" i="3" s="1"/>
  <c r="E10" i="3"/>
  <c r="E44" i="3"/>
  <c r="F44" i="3" s="1"/>
  <c r="E43" i="3"/>
  <c r="F43" i="3" s="1"/>
  <c r="E35" i="3"/>
  <c r="F35" i="3" s="1"/>
  <c r="E33" i="3"/>
  <c r="F33" i="3" s="1"/>
  <c r="E46" i="3"/>
  <c r="E32" i="3"/>
  <c r="E12" i="3"/>
  <c r="F12" i="3" s="1"/>
  <c r="E27" i="3"/>
  <c r="F27" i="3" s="1"/>
  <c r="E31" i="3"/>
  <c r="E47" i="3"/>
  <c r="F47" i="3" s="1"/>
  <c r="E20" i="3"/>
  <c r="F20" i="3" s="1"/>
  <c r="J3" i="3"/>
  <c r="E3" i="3"/>
  <c r="F3" i="3" s="1"/>
  <c r="E40" i="3"/>
  <c r="D55" i="1" l="1"/>
  <c r="K3" i="1"/>
  <c r="K4" i="1"/>
  <c r="K22" i="1"/>
  <c r="K41" i="1"/>
  <c r="K43" i="1"/>
  <c r="K18" i="1"/>
  <c r="K6" i="1"/>
  <c r="K16" i="1"/>
  <c r="K8" i="1"/>
  <c r="K46" i="1"/>
  <c r="K38" i="1"/>
  <c r="K12" i="1"/>
  <c r="K30" i="1"/>
  <c r="K26" i="1"/>
  <c r="K15" i="1"/>
  <c r="K32" i="1"/>
  <c r="K25" i="1"/>
  <c r="K14" i="1"/>
  <c r="K28" i="1"/>
  <c r="K17" i="1"/>
  <c r="K9" i="1"/>
  <c r="K2" i="1"/>
  <c r="J53" i="1"/>
  <c r="I53" i="1"/>
  <c r="G53" i="2"/>
  <c r="F53" i="2"/>
  <c r="E51" i="2"/>
  <c r="E50" i="2"/>
  <c r="F49" i="2"/>
  <c r="E49" i="2" s="1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G26" i="2"/>
  <c r="E26" i="2"/>
  <c r="G25" i="2"/>
  <c r="E25" i="2" s="1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K53" i="1" l="1"/>
  <c r="K56" i="1" s="1"/>
  <c r="G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tc={D8F6A8B2-D386-40BE-A13E-629900E4580D}</author>
    <author>tc={DEC7A049-2553-455F-9CCC-849E31BA8ABF}</author>
    <author>tc={457B06A6-BEC5-41B1-BBD1-E15F9107E278}</author>
  </authors>
  <commentList>
    <comment ref="A42" authorId="0" shapeId="0" xr:uid="{D8F6A8B2-D386-40BE-A13E-629900E4580D}">
      <text>
        <t>[Threaded comment]
Your version of Excel allows you to read this threaded comment; however, any edits to it will get removed if the file is opened in a newer version of Excel. Learn more: https://go.microsoft.com/fwlink/?linkid=870924
Comment:
    No county had 10 homicides</t>
      </text>
    </comment>
    <comment ref="A44" authorId="1" shapeId="0" xr:uid="{DEC7A049-2553-455F-9CCC-849E31BA8ABF}">
      <text>
        <t>[Threaded comment]
Your version of Excel allows you to read this threaded comment; however, any edits to it will get removed if the file is opened in a newer version of Excel. Learn more: https://go.microsoft.com/fwlink/?linkid=870924
Comment:
    No county had 10 homicides</t>
      </text>
    </comment>
    <comment ref="A48" authorId="2" shapeId="0" xr:uid="{457B06A6-BEC5-41B1-BBD1-E15F9107E278}">
      <text>
        <t>[Threaded comment]
Your version of Excel allows you to read this threaded comment; however, any edits to it will get removed if the file is opened in a newer version of Excel. Learn more: https://go.microsoft.com/fwlink/?linkid=870924
Comment:
    No county had 10 homicides</t>
      </text>
    </comment>
  </commentList>
</comments>
</file>

<file path=xl/sharedStrings.xml><?xml version="1.0" encoding="utf-8"?>
<sst xmlns="http://schemas.openxmlformats.org/spreadsheetml/2006/main" count="705" uniqueCount="134">
  <si>
    <t>State</t>
  </si>
  <si>
    <t>Deaths</t>
  </si>
  <si>
    <t>Population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</si>
  <si>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</si>
  <si>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</si>
  <si>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</si>
  <si>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</si>
  <si>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</si>
  <si>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</si>
  <si>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</si>
  <si>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</si>
  <si>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</si>
  <si>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</si>
  <si>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</si>
  <si>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</si>
  <si>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</si>
  <si>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</si>
  <si>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</si>
  <si>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</si>
  <si>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</si>
  <si>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</si>
  <si>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</si>
  <si>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</si>
  <si>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</si>
  <si>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</si>
  <si>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</si>
  <si>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</si>
  <si>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</si>
  <si>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</si>
  <si>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</si>
  <si>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</si>
  <si>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</si>
  <si>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</si>
  <si>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</si>
  <si>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</si>
  <si>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</si>
  <si>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</si>
  <si>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</si>
  <si>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</si>
  <si>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</si>
  <si>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</si>
  <si>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</si>
  <si>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</si>
  <si>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</si>
  <si>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</si>
  <si>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</si>
  <si>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</si>
  <si>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</si>
  <si>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</si>
  <si>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</si>
  <si>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</si>
  <si>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</si>
  <si>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</si>
  <si>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Rate</t>
  </si>
  <si>
    <t>red/blue</t>
  </si>
  <si>
    <t>red</t>
  </si>
  <si>
    <t>blue</t>
  </si>
  <si>
    <t>Rate red</t>
  </si>
  <si>
    <t>Rate blue</t>
  </si>
  <si>
    <t>MS</t>
  </si>
  <si>
    <t>LA</t>
  </si>
  <si>
    <t xml:space="preserve">AL </t>
  </si>
  <si>
    <t>NM</t>
  </si>
  <si>
    <t>SC</t>
  </si>
  <si>
    <t>IL</t>
  </si>
  <si>
    <t xml:space="preserve">MO </t>
  </si>
  <si>
    <t xml:space="preserve">TN </t>
  </si>
  <si>
    <t>MD</t>
  </si>
  <si>
    <t xml:space="preserve">GA </t>
  </si>
  <si>
    <t xml:space="preserve">AR </t>
  </si>
  <si>
    <t>DE</t>
  </si>
  <si>
    <t>NC</t>
  </si>
  <si>
    <t xml:space="preserve">IN </t>
  </si>
  <si>
    <t xml:space="preserve">KY </t>
  </si>
  <si>
    <t>OH</t>
  </si>
  <si>
    <t>OK</t>
  </si>
  <si>
    <t>NV</t>
  </si>
  <si>
    <t>PA</t>
  </si>
  <si>
    <t xml:space="preserve">MI </t>
  </si>
  <si>
    <t>TX</t>
  </si>
  <si>
    <t>AZ</t>
  </si>
  <si>
    <t>VA</t>
  </si>
  <si>
    <t>FL</t>
  </si>
  <si>
    <t>CA</t>
  </si>
  <si>
    <t>WV</t>
  </si>
  <si>
    <t xml:space="preserve">CO </t>
  </si>
  <si>
    <t>KS</t>
  </si>
  <si>
    <t xml:space="preserve">WI </t>
  </si>
  <si>
    <t>SD</t>
  </si>
  <si>
    <t>OR</t>
  </si>
  <si>
    <t>NY</t>
  </si>
  <si>
    <t>CT</t>
  </si>
  <si>
    <t>NJ</t>
  </si>
  <si>
    <t>WA</t>
  </si>
  <si>
    <t>MT</t>
  </si>
  <si>
    <t>MN</t>
  </si>
  <si>
    <t>RI</t>
  </si>
  <si>
    <t xml:space="preserve">NE </t>
  </si>
  <si>
    <t>ND</t>
  </si>
  <si>
    <t xml:space="preserve">IA </t>
  </si>
  <si>
    <t>WY</t>
  </si>
  <si>
    <t>HI</t>
  </si>
  <si>
    <t>UT</t>
  </si>
  <si>
    <t xml:space="preserve">MA </t>
  </si>
  <si>
    <t>ID</t>
  </si>
  <si>
    <t>ME</t>
  </si>
  <si>
    <t>VT</t>
  </si>
  <si>
    <t xml:space="preserve">NH </t>
  </si>
  <si>
    <t xml:space="preserve">AK </t>
  </si>
  <si>
    <t>2021 Deaths</t>
  </si>
  <si>
    <t>2021 Rate</t>
  </si>
  <si>
    <t>2020 Rate</t>
  </si>
  <si>
    <t>Change</t>
  </si>
  <si>
    <t>less</t>
  </si>
  <si>
    <t>more</t>
  </si>
  <si>
    <t>same</t>
  </si>
  <si>
    <t>w/o largest county</t>
  </si>
  <si>
    <t>FY 2021</t>
  </si>
  <si>
    <t>Per capita</t>
  </si>
  <si>
    <t>US</t>
  </si>
  <si>
    <t>% of US</t>
  </si>
  <si>
    <t>2021 Homicide Rate</t>
  </si>
  <si>
    <t>Per capita spending</t>
  </si>
  <si>
    <t>2022 Deaths</t>
  </si>
  <si>
    <t>2022 Rate</t>
  </si>
  <si>
    <t>Rate Red</t>
  </si>
  <si>
    <t>Rate Blue</t>
  </si>
  <si>
    <t>2022 Homicide Rate</t>
  </si>
  <si>
    <t>Blue states</t>
  </si>
  <si>
    <t>Red states</t>
  </si>
  <si>
    <t>Avg</t>
  </si>
  <si>
    <t>Diff pct</t>
  </si>
  <si>
    <t>Pop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</si>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</sst>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sz val="11"/>
      <color rgb="FFFF0000"/>
      <name val="Georgia"/>
      <family val="1"/>
    </font>
    <font>
      <sz val="11"/>
      <color rgb="FF0070C0"/>
      <name val="Georgia"/>
      <family val="1"/>
    </font>
    <font>
      <sz val="11"/>
      <color theme="4"/>
      <name val="Georg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0" xfId="0" applyFont="1" applyAlignment="1">
      <alignment horizontal="left"/>
    </xf>
    <xf numFmtId="2" fontId="19" fillId="0" borderId="0" xfId="0" applyNumberFormat="1" applyFont="1"/>
    <xf numFmtId="9" fontId="19" fillId="0" borderId="0" xfId="1" applyFont="1"/>
    <xf numFmtId="0" fontId="19" fillId="33" borderId="0" xfId="0" applyFont="1" applyFill="1"/>
    <xf numFmtId="3" fontId="19" fillId="0" borderId="0" xfId="0" applyNumberFormat="1" applyFont="1"/>
    <xf numFmtId="44" fontId="19" fillId="0" borderId="0" xfId="43" applyFont="1"/>
    <xf numFmtId="44" fontId="19" fillId="0" borderId="0" xfId="0" applyNumberFormat="1" applyFont="1"/>
    <xf numFmtId="44" fontId="19" fillId="33" borderId="0" xfId="0" applyNumberFormat="1" applyFont="1" applyFill="1"/>
    <xf numFmtId="0" fontId="20" fillId="0" borderId="0" xfId="0" applyFont="1"/>
    <xf numFmtId="0" fontId="19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horizontal="center"/>
    </xf>
    <xf numFmtId="44" fontId="23" fillId="0" borderId="11" xfId="43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44" fontId="24" fillId="0" borderId="11" xfId="43" applyFont="1" applyBorder="1" applyAlignment="1">
      <alignment horizontal="center"/>
    </xf>
    <xf numFmtId="44" fontId="24" fillId="0" borderId="11" xfId="43" applyFont="1" applyFill="1" applyBorder="1" applyAlignment="1">
      <alignment horizontal="center"/>
    </xf>
    <xf numFmtId="44" fontId="23" fillId="0" borderId="11" xfId="43" applyFont="1" applyFill="1" applyBorder="1" applyAlignment="1">
      <alignment horizontal="center"/>
    </xf>
    <xf numFmtId="10" fontId="19" fillId="0" borderId="0" xfId="0" applyNumberFormat="1" applyFont="1"/>
    <xf numFmtId="0" fontId="23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2" fontId="23" fillId="0" borderId="10" xfId="0" applyNumberFormat="1" applyFont="1" applyBorder="1" applyAlignment="1">
      <alignment horizontal="center"/>
    </xf>
    <xf numFmtId="2" fontId="24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/>
    </xf>
    <xf numFmtId="1" fontId="19" fillId="0" borderId="0" xfId="0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4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US" sz="1200" b="1"/>
              <a:t>The Murder Rate in Red States Has Exceeded the Murder Rate in Blue States Every Year This Century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'22 Red v Blue'!$A$59</c:f>
              <c:strCache>
                <c:ptCount val="1"/>
                <c:pt idx="0">
                  <c:v>Blue states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'22 Red v Blue'!$B$58:$X$58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'22 Red v Blue'!$B$59:$X$59</c:f>
              <c:numCache>
                <c:formatCode>0.00</c:formatCode>
                <c:ptCount val="23"/>
                <c:pt idx="0">
                  <c:v>5.4654014493708605</c:v>
                </c:pt>
                <c:pt idx="1">
                  <c:v>5.6520836453872798</c:v>
                </c:pt>
                <c:pt idx="2">
                  <c:v>5.7149982058424929</c:v>
                </c:pt>
                <c:pt idx="3">
                  <c:v>5.76342776959308</c:v>
                </c:pt>
                <c:pt idx="4">
                  <c:v>5.6002736822295471</c:v>
                </c:pt>
                <c:pt idx="5">
                  <c:v>5.7654474451153952</c:v>
                </c:pt>
                <c:pt idx="6">
                  <c:v>5.805586828820184</c:v>
                </c:pt>
                <c:pt idx="7">
                  <c:v>5.5154748645681941</c:v>
                </c:pt>
                <c:pt idx="8">
                  <c:v>5.2525413851130134</c:v>
                </c:pt>
                <c:pt idx="9">
                  <c:v>4.8899817117046567</c:v>
                </c:pt>
                <c:pt idx="10">
                  <c:v>4.8047279193075187</c:v>
                </c:pt>
                <c:pt idx="11">
                  <c:v>4.6788968812921068</c:v>
                </c:pt>
                <c:pt idx="12">
                  <c:v>4.7402313240609084</c:v>
                </c:pt>
                <c:pt idx="13">
                  <c:v>4.4874782515024849</c:v>
                </c:pt>
                <c:pt idx="14">
                  <c:v>4.3753852085701466</c:v>
                </c:pt>
                <c:pt idx="15">
                  <c:v>4.8932941797466452</c:v>
                </c:pt>
                <c:pt idx="16">
                  <c:v>5.2294917668506056</c:v>
                </c:pt>
                <c:pt idx="17">
                  <c:v>5.1373688541283844</c:v>
                </c:pt>
                <c:pt idx="18">
                  <c:v>4.926374706387425</c:v>
                </c:pt>
                <c:pt idx="19">
                  <c:v>4.86543390530725</c:v>
                </c:pt>
                <c:pt idx="20">
                  <c:v>6.2</c:v>
                </c:pt>
                <c:pt idx="21" formatCode="General">
                  <c:v>6.75</c:v>
                </c:pt>
                <c:pt idx="22" formatCode="General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7-488B-B830-590684E2B0E4}"/>
            </c:ext>
          </c:extLst>
        </c:ser>
        <c:ser>
          <c:idx val="1"/>
          <c:order val="1"/>
          <c:tx>
            <c:strRef>
              <c:f>'22 Red v Blue'!$A$60</c:f>
              <c:strCache>
                <c:ptCount val="1"/>
                <c:pt idx="0">
                  <c:v>Red states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'22 Red v Blue'!$B$58:$X$58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'22 Red v Blue'!$B$60:$X$60</c:f>
              <c:numCache>
                <c:formatCode>0.00</c:formatCode>
                <c:ptCount val="23"/>
                <c:pt idx="0">
                  <c:v>6.3452043198489143</c:v>
                </c:pt>
                <c:pt idx="1">
                  <c:v>6.4351567629897346</c:v>
                </c:pt>
                <c:pt idx="2">
                  <c:v>6.3804198055806767</c:v>
                </c:pt>
                <c:pt idx="3">
                  <c:v>6.2930265388155622</c:v>
                </c:pt>
                <c:pt idx="4">
                  <c:v>6.1180969427393865</c:v>
                </c:pt>
                <c:pt idx="5">
                  <c:v>6.3404629078753372</c:v>
                </c:pt>
                <c:pt idx="6">
                  <c:v>6.5030299399579121</c:v>
                </c:pt>
                <c:pt idx="7">
                  <c:v>6.6181074877669559</c:v>
                </c:pt>
                <c:pt idx="8">
                  <c:v>6.4118118640590094</c:v>
                </c:pt>
                <c:pt idx="9">
                  <c:v>6.0089866123656543</c:v>
                </c:pt>
                <c:pt idx="10">
                  <c:v>5.61017780154486</c:v>
                </c:pt>
                <c:pt idx="11">
                  <c:v>5.7075130245600141</c:v>
                </c:pt>
                <c:pt idx="12">
                  <c:v>5.8826715667560237</c:v>
                </c:pt>
                <c:pt idx="13">
                  <c:v>5.698473015056063</c:v>
                </c:pt>
                <c:pt idx="14">
                  <c:v>5.7695082997014957</c:v>
                </c:pt>
                <c:pt idx="15">
                  <c:v>6.3634584678424684</c:v>
                </c:pt>
                <c:pt idx="16">
                  <c:v>6.9626338745990326</c:v>
                </c:pt>
                <c:pt idx="17">
                  <c:v>7.1088070830157815</c:v>
                </c:pt>
                <c:pt idx="18">
                  <c:v>6.8064733372718003</c:v>
                </c:pt>
                <c:pt idx="19">
                  <c:v>7.0303959968862495</c:v>
                </c:pt>
                <c:pt idx="20">
                  <c:v>8.84</c:v>
                </c:pt>
                <c:pt idx="21" formatCode="General">
                  <c:v>8.99</c:v>
                </c:pt>
                <c:pt idx="22" formatCode="General">
                  <c:v>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77-488B-B830-590684E2B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144143"/>
        <c:axId val="825696495"/>
      </c:lineChart>
      <c:catAx>
        <c:axId val="82914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25696495"/>
        <c:crosses val="autoZero"/>
        <c:auto val="1"/>
        <c:lblAlgn val="ctr"/>
        <c:lblOffset val="100"/>
        <c:noMultiLvlLbl val="0"/>
      </c:catAx>
      <c:valAx>
        <c:axId val="825696495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US" sz="900"/>
                  <a:t>Average  Murder Rate (per 100,000)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2914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379411</xdr:colOff>
      <xdr:row>62</xdr:row>
      <xdr:rowOff>17462</xdr:rowOff>
    </xdr:from>
    <xdr:to>
      <xdr:col>6</xdr:col>
      <xdr:colOff>533400</xdr:colOff>
      <xdr:row>79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2565906-E151-F419-E0D1-2A9E4CDBDA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ylie Murdock" id="{2157CD03-EA46-4E1B-988B-A6EC9050777A}" userId="S::kmurdock@thirdway.org::8ae1d016-513a-4405-98d4-fd1d340eb89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2" dT="2023-08-14T17:03:51.80" personId="{2157CD03-EA46-4E1B-988B-A6EC9050777A}" id="{D8F6A8B2-D386-40BE-A13E-629900E4580D}">
    <text>No county had 10 homicides</text>
  </threadedComment>
  <threadedComment ref="A44" dT="2023-08-14T17:04:58.75" personId="{2157CD03-EA46-4E1B-988B-A6EC9050777A}" id="{DEC7A049-2553-455F-9CCC-849E31BA8ABF}">
    <text>No county had 10 homicides</text>
  </threadedComment>
  <threadedComment ref="A48" dT="2023-08-14T17:06:20.89" personId="{2157CD03-EA46-4E1B-988B-A6EC9050777A}" id="{457B06A6-BEC5-41B1-BBD1-E15F9107E278}">
    <text>No county had 10 homicides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zoomScaleNormal="100" workbookViewId="0">
      <pane xSplit="1" topLeftCell="B1" activePane="topRight" state="frozen"/>
      <selection pane="topRight" activeCell="M14" sqref="M14"/>
    </sheetView>
  </sheetViews>
  <sheetFormatPr defaultRowHeight="14" x14ac:dyDescent="0.3"/>
  <cols>
    <col min="1" max="1" width="10.54296875" style="2" customWidth="1"/>
    <col min="2" max="2" width="10.26953125" style="2" customWidth="1"/>
    <col min="3" max="3" width="11.81640625" style="2" customWidth="1"/>
    <col min="4" max="4" width="15.453125" style="2" customWidth="1"/>
    <col min="5" max="5" width="11.453125" style="2" customWidth="1"/>
    <col min="6" max="6" width="11.81640625" style="2" customWidth="1"/>
    <col min="7" max="7" width="10.7265625" style="2" customWidth="1"/>
    <col min="8" max="9" width="8.7265625" style="2"/>
    <col min="10" max="10" width="10.08984375" style="2" customWidth="1"/>
    <col min="11" max="13" width="8.7265625" style="2"/>
    <col min="14" max="14" width="18.7265625" style="13" customWidth="1"/>
    <col min="15" max="16384" width="8.7265625" style="2"/>
  </cols>
  <sheetData>
    <row r="1" spans="1:14" ht="29" x14ac:dyDescent="0.35">
      <c r="A1" s="1" t="s">
        <v>0</v>
      </c>
      <c r="B1" s="1" t="s">
        <v>54</v>
      </c>
      <c r="C1" s="1" t="s">
        <v>109</v>
      </c>
      <c r="D1" s="1" t="s">
        <v>2</v>
      </c>
      <c r="E1" s="1" t="s">
        <v>110</v>
      </c>
      <c r="F1" s="4" t="s">
        <v>111</v>
      </c>
      <c r="G1" s="1" t="s">
        <v>112</v>
      </c>
      <c r="I1" s="1" t="s">
        <v>116</v>
      </c>
      <c r="J1" s="1"/>
      <c r="M1" s="15" t="s">
        <v>0</v>
      </c>
      <c r="N1" s="14" t="s">
        <v>121</v>
      </c>
    </row>
    <row r="2" spans="1:14" ht="14.5" x14ac:dyDescent="0.35">
      <c r="A2" s="2" t="s">
        <v>59</v>
      </c>
      <c r="B2" s="2" t="s">
        <v>55</v>
      </c>
      <c r="C2" s="2">
        <v>656</v>
      </c>
      <c r="D2" s="2">
        <v>2949965</v>
      </c>
      <c r="E2" s="1">
        <v>22.2</v>
      </c>
      <c r="F2" s="5">
        <v>19.321236559139784</v>
      </c>
      <c r="G2" s="6">
        <f t="shared" ref="G2:G33" si="0">(E2-F2)/F2</f>
        <v>0.14899478260869567</v>
      </c>
      <c r="I2" s="2">
        <f>C2-138</f>
        <v>518</v>
      </c>
      <c r="J2" s="2">
        <f>D2-222679</f>
        <v>2727286</v>
      </c>
      <c r="K2" s="5">
        <f>(I2/J2)*100000</f>
        <v>18.993240899560956</v>
      </c>
      <c r="M2" s="27" t="s">
        <v>59</v>
      </c>
      <c r="N2" s="31">
        <v>22.2</v>
      </c>
    </row>
    <row r="3" spans="1:14" ht="14.5" x14ac:dyDescent="0.35">
      <c r="A3" s="2" t="s">
        <v>60</v>
      </c>
      <c r="B3" s="2" t="s">
        <v>55</v>
      </c>
      <c r="C3" s="2">
        <v>937</v>
      </c>
      <c r="D3" s="2">
        <v>4624047</v>
      </c>
      <c r="E3" s="1">
        <v>20.3</v>
      </c>
      <c r="F3" s="5">
        <v>18.713701871370187</v>
      </c>
      <c r="G3" s="6">
        <f t="shared" si="0"/>
        <v>8.4766666666666712E-2</v>
      </c>
      <c r="I3" s="2">
        <f>C3-195</f>
        <v>742</v>
      </c>
      <c r="J3" s="2">
        <f>D3-376971</f>
        <v>4247076</v>
      </c>
      <c r="K3" s="5">
        <f>(I3/J3)*100000</f>
        <v>17.470843469718929</v>
      </c>
      <c r="M3" s="27" t="s">
        <v>60</v>
      </c>
      <c r="N3" s="31">
        <v>20.3</v>
      </c>
    </row>
    <row r="4" spans="1:14" ht="14.5" x14ac:dyDescent="0.35">
      <c r="A4" s="2" t="s">
        <v>61</v>
      </c>
      <c r="B4" s="2" t="s">
        <v>55</v>
      </c>
      <c r="C4" s="2">
        <v>747</v>
      </c>
      <c r="D4" s="2">
        <v>5039877</v>
      </c>
      <c r="E4" s="1">
        <v>14.8</v>
      </c>
      <c r="F4" s="5">
        <v>13.277585151947788</v>
      </c>
      <c r="G4" s="6">
        <f t="shared" si="0"/>
        <v>0.11466052227342549</v>
      </c>
      <c r="I4" s="2">
        <f>C4-35</f>
        <v>712</v>
      </c>
      <c r="J4" s="2">
        <f>D4-395211</f>
        <v>4644666</v>
      </c>
      <c r="K4" s="5">
        <f>(I4/J4)*100000</f>
        <v>15.329412276361744</v>
      </c>
      <c r="M4" s="27" t="s">
        <v>61</v>
      </c>
      <c r="N4" s="31">
        <v>14.8</v>
      </c>
    </row>
    <row r="5" spans="1:14" ht="14.5" x14ac:dyDescent="0.35">
      <c r="A5" s="2" t="s">
        <v>62</v>
      </c>
      <c r="B5" s="2" t="s">
        <v>56</v>
      </c>
      <c r="C5" s="2">
        <v>304</v>
      </c>
      <c r="D5" s="2">
        <v>2115877</v>
      </c>
      <c r="E5" s="1">
        <v>14.4</v>
      </c>
      <c r="F5" s="5">
        <v>10.157367668097283</v>
      </c>
      <c r="G5" s="6">
        <f t="shared" si="0"/>
        <v>0.41769014084507028</v>
      </c>
      <c r="M5" s="32" t="s">
        <v>62</v>
      </c>
      <c r="N5" s="33">
        <v>14.4</v>
      </c>
    </row>
    <row r="6" spans="1:14" ht="14.5" x14ac:dyDescent="0.35">
      <c r="A6" s="2" t="s">
        <v>63</v>
      </c>
      <c r="B6" s="2" t="s">
        <v>55</v>
      </c>
      <c r="C6" s="2">
        <v>651</v>
      </c>
      <c r="D6" s="2">
        <v>5190705</v>
      </c>
      <c r="E6" s="1">
        <v>12.5</v>
      </c>
      <c r="F6" s="5">
        <v>12.060594290153428</v>
      </c>
      <c r="G6" s="6">
        <f t="shared" si="0"/>
        <v>3.6433172302737467E-2</v>
      </c>
      <c r="I6" s="2">
        <f>C6-62</f>
        <v>589</v>
      </c>
      <c r="J6" s="2">
        <f>D6-413024</f>
        <v>4777681</v>
      </c>
      <c r="K6" s="5">
        <f>(I6/J6)*100000</f>
        <v>12.328156693592561</v>
      </c>
      <c r="M6" s="27" t="s">
        <v>63</v>
      </c>
      <c r="N6" s="31">
        <v>12.5</v>
      </c>
    </row>
    <row r="7" spans="1:14" ht="14.5" x14ac:dyDescent="0.35">
      <c r="A7" s="2" t="s">
        <v>64</v>
      </c>
      <c r="B7" s="2" t="s">
        <v>56</v>
      </c>
      <c r="C7" s="2">
        <v>1479</v>
      </c>
      <c r="D7" s="2">
        <v>12671469</v>
      </c>
      <c r="E7" s="1">
        <v>11.7</v>
      </c>
      <c r="F7" s="5">
        <v>10.647198105761641</v>
      </c>
      <c r="G7" s="6">
        <f t="shared" si="0"/>
        <v>9.8880652335063046E-2</v>
      </c>
      <c r="M7" s="32" t="s">
        <v>64</v>
      </c>
      <c r="N7" s="33">
        <v>11.7</v>
      </c>
    </row>
    <row r="8" spans="1:14" ht="14.5" x14ac:dyDescent="0.35">
      <c r="A8" s="2" t="s">
        <v>65</v>
      </c>
      <c r="B8" s="2" t="s">
        <v>55</v>
      </c>
      <c r="C8" s="2">
        <v>709</v>
      </c>
      <c r="D8" s="2">
        <v>6168187</v>
      </c>
      <c r="E8" s="1">
        <v>11.5</v>
      </c>
      <c r="F8" s="5">
        <v>13.019390581717451</v>
      </c>
      <c r="G8" s="6">
        <f t="shared" si="0"/>
        <v>-0.11670212765957441</v>
      </c>
      <c r="I8" s="2">
        <f>C8-186</f>
        <v>523</v>
      </c>
      <c r="J8" s="2">
        <f>D8-716862</f>
        <v>5451325</v>
      </c>
      <c r="K8" s="5">
        <f>(I8/J8)*100000</f>
        <v>9.5939977895282347</v>
      </c>
      <c r="M8" s="27" t="s">
        <v>65</v>
      </c>
      <c r="N8" s="31">
        <v>11.5</v>
      </c>
    </row>
    <row r="9" spans="1:14" ht="14.5" x14ac:dyDescent="0.35">
      <c r="A9" s="2" t="s">
        <v>66</v>
      </c>
      <c r="B9" s="2" t="s">
        <v>55</v>
      </c>
      <c r="C9" s="2">
        <v>804</v>
      </c>
      <c r="D9" s="2">
        <v>6975218</v>
      </c>
      <c r="E9" s="1">
        <v>11.5</v>
      </c>
      <c r="F9" s="5">
        <v>10.904865719138867</v>
      </c>
      <c r="G9" s="6">
        <f t="shared" si="0"/>
        <v>5.4575113182423467E-2</v>
      </c>
      <c r="I9" s="2">
        <f>C9-98</f>
        <v>706</v>
      </c>
      <c r="J9" s="2">
        <f>D9-703953</f>
        <v>6271265</v>
      </c>
      <c r="K9" s="5">
        <f>(I9/J9)*100000</f>
        <v>11.257696812365607</v>
      </c>
      <c r="M9" s="27" t="s">
        <v>66</v>
      </c>
      <c r="N9" s="31">
        <v>11.5</v>
      </c>
    </row>
    <row r="10" spans="1:14" ht="14.5" x14ac:dyDescent="0.35">
      <c r="A10" s="2" t="s">
        <v>67</v>
      </c>
      <c r="B10" s="2" t="s">
        <v>56</v>
      </c>
      <c r="C10" s="2">
        <v>703</v>
      </c>
      <c r="D10" s="2">
        <v>6165129</v>
      </c>
      <c r="E10" s="1">
        <v>11.4</v>
      </c>
      <c r="F10" s="5">
        <v>10.602050942772081</v>
      </c>
      <c r="G10" s="6">
        <f t="shared" si="0"/>
        <v>7.526365054602184E-2</v>
      </c>
      <c r="M10" s="32" t="s">
        <v>67</v>
      </c>
      <c r="N10" s="33">
        <v>11.4</v>
      </c>
    </row>
    <row r="11" spans="1:14" ht="14.5" x14ac:dyDescent="0.35">
      <c r="A11" s="2" t="s">
        <v>68</v>
      </c>
      <c r="B11" s="2" t="s">
        <v>56</v>
      </c>
      <c r="C11" s="2">
        <v>1201</v>
      </c>
      <c r="D11" s="2">
        <v>10799566</v>
      </c>
      <c r="E11" s="1">
        <v>11.1</v>
      </c>
      <c r="F11" s="5">
        <v>10.225988700564971</v>
      </c>
      <c r="G11" s="6">
        <f t="shared" si="0"/>
        <v>8.5469613259668606E-2</v>
      </c>
      <c r="M11" s="32" t="s">
        <v>68</v>
      </c>
      <c r="N11" s="33">
        <v>11.1</v>
      </c>
    </row>
    <row r="12" spans="1:14" x14ac:dyDescent="0.3">
      <c r="A12" s="2" t="s">
        <v>69</v>
      </c>
      <c r="B12" s="2" t="s">
        <v>55</v>
      </c>
      <c r="C12" s="2">
        <v>333</v>
      </c>
      <c r="D12" s="2">
        <v>3025891</v>
      </c>
      <c r="E12" s="2">
        <v>11</v>
      </c>
      <c r="F12" s="5">
        <v>12.252932402331842</v>
      </c>
      <c r="G12" s="6">
        <f t="shared" si="0"/>
        <v>-0.10225571815718153</v>
      </c>
      <c r="I12" s="2">
        <f>C12-81</f>
        <v>252</v>
      </c>
      <c r="J12" s="2">
        <f>D12-397821</f>
        <v>2628070</v>
      </c>
      <c r="K12" s="5">
        <f>(I12/J12)*100000</f>
        <v>9.5887856868348269</v>
      </c>
    </row>
    <row r="13" spans="1:14" x14ac:dyDescent="0.3">
      <c r="A13" s="2" t="s">
        <v>70</v>
      </c>
      <c r="B13" s="2" t="s">
        <v>56</v>
      </c>
      <c r="C13" s="2">
        <v>102</v>
      </c>
      <c r="D13" s="2">
        <v>1003384</v>
      </c>
      <c r="E13" s="2">
        <v>10.199999999999999</v>
      </c>
      <c r="F13" s="5">
        <v>8.7290144223857116</v>
      </c>
      <c r="G13" s="6">
        <f t="shared" si="0"/>
        <v>0.16851679999999991</v>
      </c>
    </row>
    <row r="14" spans="1:14" x14ac:dyDescent="0.3">
      <c r="A14" s="2" t="s">
        <v>71</v>
      </c>
      <c r="B14" s="2" t="s">
        <v>55</v>
      </c>
      <c r="C14" s="2">
        <v>978</v>
      </c>
      <c r="D14" s="2">
        <v>10551162</v>
      </c>
      <c r="E14" s="2">
        <v>9.3000000000000007</v>
      </c>
      <c r="F14" s="5">
        <v>8.3698760724499515</v>
      </c>
      <c r="G14" s="6">
        <f t="shared" si="0"/>
        <v>0.11112756264236923</v>
      </c>
      <c r="I14" s="2">
        <f>C14-113</f>
        <v>865</v>
      </c>
      <c r="J14" s="2">
        <f>D14-1122276</f>
        <v>9428886</v>
      </c>
      <c r="K14" s="5">
        <f>(I14/J14)*100000</f>
        <v>9.173936348366075</v>
      </c>
    </row>
    <row r="15" spans="1:14" x14ac:dyDescent="0.3">
      <c r="A15" s="2" t="s">
        <v>72</v>
      </c>
      <c r="B15" s="2" t="s">
        <v>55</v>
      </c>
      <c r="C15" s="2">
        <v>620</v>
      </c>
      <c r="D15" s="2">
        <v>6805985</v>
      </c>
      <c r="E15" s="2">
        <v>9.1</v>
      </c>
      <c r="F15" s="5">
        <v>9.1651812240047548</v>
      </c>
      <c r="G15" s="6">
        <f t="shared" si="0"/>
        <v>-7.1118314424637183E-3</v>
      </c>
      <c r="I15" s="2">
        <f>C15-246</f>
        <v>374</v>
      </c>
      <c r="J15" s="2">
        <f>D15-971102</f>
        <v>5834883</v>
      </c>
      <c r="K15" s="5">
        <f>(I15/J15)*100000</f>
        <v>6.4097257819908302</v>
      </c>
    </row>
    <row r="16" spans="1:14" x14ac:dyDescent="0.3">
      <c r="A16" s="2" t="s">
        <v>73</v>
      </c>
      <c r="B16" s="2" t="s">
        <v>55</v>
      </c>
      <c r="C16" s="2">
        <v>406</v>
      </c>
      <c r="D16" s="2">
        <v>4509394</v>
      </c>
      <c r="E16" s="2">
        <v>9</v>
      </c>
      <c r="F16" s="5">
        <v>9.0420769919427038</v>
      </c>
      <c r="G16" s="6">
        <f t="shared" si="0"/>
        <v>-4.6534653465346628E-3</v>
      </c>
      <c r="I16" s="2">
        <f>C16-199</f>
        <v>207</v>
      </c>
      <c r="J16" s="2">
        <f>D16-777874</f>
        <v>3731520</v>
      </c>
      <c r="K16" s="5">
        <f>(I16/J16)*100000</f>
        <v>5.5473372781065082</v>
      </c>
    </row>
    <row r="17" spans="1:11" x14ac:dyDescent="0.3">
      <c r="A17" s="2" t="s">
        <v>74</v>
      </c>
      <c r="B17" s="2" t="s">
        <v>55</v>
      </c>
      <c r="C17" s="2">
        <v>1008</v>
      </c>
      <c r="D17" s="2">
        <v>11780017</v>
      </c>
      <c r="E17" s="2">
        <v>8.6</v>
      </c>
      <c r="F17" s="5">
        <v>8.5029940119760479</v>
      </c>
      <c r="G17" s="6">
        <f t="shared" si="0"/>
        <v>1.1408450704225314E-2</v>
      </c>
      <c r="I17" s="2">
        <f>C17-212</f>
        <v>796</v>
      </c>
      <c r="J17" s="2">
        <f>D17-1321414</f>
        <v>10458603</v>
      </c>
      <c r="K17" s="5">
        <f>(I17/J17)*100000</f>
        <v>7.6109591309661528</v>
      </c>
    </row>
    <row r="18" spans="1:11" x14ac:dyDescent="0.3">
      <c r="A18" s="2" t="s">
        <v>75</v>
      </c>
      <c r="B18" s="2" t="s">
        <v>55</v>
      </c>
      <c r="C18" s="2">
        <v>339</v>
      </c>
      <c r="D18" s="2">
        <v>3986639</v>
      </c>
      <c r="E18" s="2">
        <v>8.5</v>
      </c>
      <c r="F18" s="5">
        <v>8.5923679555218602</v>
      </c>
      <c r="G18" s="6">
        <f t="shared" si="0"/>
        <v>-1.075000000000002E-2</v>
      </c>
      <c r="I18" s="2">
        <f>C18-103</f>
        <v>236</v>
      </c>
      <c r="J18" s="2">
        <f>D18-798575</f>
        <v>3188064</v>
      </c>
      <c r="K18" s="5">
        <f>(I18/J18)*100000</f>
        <v>7.4026117417969024</v>
      </c>
    </row>
    <row r="19" spans="1:11" x14ac:dyDescent="0.3">
      <c r="A19" s="2" t="s">
        <v>76</v>
      </c>
      <c r="B19" s="2" t="s">
        <v>56</v>
      </c>
      <c r="C19" s="2">
        <v>264</v>
      </c>
      <c r="D19" s="2">
        <v>3143991</v>
      </c>
      <c r="E19" s="2">
        <v>8.4</v>
      </c>
      <c r="F19" s="5">
        <v>6.828546157428911</v>
      </c>
      <c r="G19" s="6">
        <f t="shared" si="0"/>
        <v>0.23013007547169809</v>
      </c>
    </row>
    <row r="20" spans="1:11" x14ac:dyDescent="0.3">
      <c r="A20" s="2" t="s">
        <v>77</v>
      </c>
      <c r="B20" s="2" t="s">
        <v>56</v>
      </c>
      <c r="C20" s="2">
        <v>1093</v>
      </c>
      <c r="D20" s="2">
        <v>12964056</v>
      </c>
      <c r="E20" s="2">
        <v>8.4</v>
      </c>
      <c r="F20" s="5">
        <v>7.6718750000000009</v>
      </c>
      <c r="G20" s="6">
        <f t="shared" si="0"/>
        <v>9.4908350305498906E-2</v>
      </c>
    </row>
    <row r="21" spans="1:11" x14ac:dyDescent="0.3">
      <c r="A21" s="2" t="s">
        <v>78</v>
      </c>
      <c r="B21" s="2" t="s">
        <v>56</v>
      </c>
      <c r="C21" s="2">
        <v>814</v>
      </c>
      <c r="D21" s="2">
        <v>10050811</v>
      </c>
      <c r="E21" s="2">
        <v>8.1</v>
      </c>
      <c r="F21" s="5">
        <v>8.0704916391308714</v>
      </c>
      <c r="G21" s="6">
        <f t="shared" si="0"/>
        <v>3.6563275434241134E-3</v>
      </c>
    </row>
    <row r="22" spans="1:11" x14ac:dyDescent="0.3">
      <c r="A22" s="2" t="s">
        <v>79</v>
      </c>
      <c r="B22" s="2" t="s">
        <v>55</v>
      </c>
      <c r="C22" s="2">
        <v>2361</v>
      </c>
      <c r="D22" s="2">
        <v>29527941</v>
      </c>
      <c r="E22" s="2">
        <v>8</v>
      </c>
      <c r="F22" s="5">
        <v>7.5482758620689658</v>
      </c>
      <c r="G22" s="6">
        <f t="shared" si="0"/>
        <v>5.9844677935130153E-2</v>
      </c>
      <c r="I22" s="2">
        <f>C22-601</f>
        <v>1760</v>
      </c>
      <c r="J22" s="2">
        <f>D22-4728030</f>
        <v>24799911</v>
      </c>
      <c r="K22" s="5">
        <f>(I22/J22)*100000</f>
        <v>7.0967996619020122</v>
      </c>
    </row>
    <row r="23" spans="1:11" x14ac:dyDescent="0.3">
      <c r="A23" s="2" t="s">
        <v>80</v>
      </c>
      <c r="B23" s="2" t="s">
        <v>56</v>
      </c>
      <c r="C23" s="2">
        <v>552</v>
      </c>
      <c r="D23" s="2">
        <v>7276316</v>
      </c>
      <c r="E23" s="2">
        <v>7.6</v>
      </c>
      <c r="F23" s="5">
        <v>7.1713147410358564</v>
      </c>
      <c r="G23" s="6">
        <f t="shared" si="0"/>
        <v>5.9777777777777749E-2</v>
      </c>
    </row>
    <row r="24" spans="1:11" x14ac:dyDescent="0.3">
      <c r="A24" s="2" t="s">
        <v>81</v>
      </c>
      <c r="B24" s="2" t="s">
        <v>56</v>
      </c>
      <c r="C24" s="2">
        <v>600</v>
      </c>
      <c r="D24" s="2">
        <v>8642274</v>
      </c>
      <c r="E24" s="2">
        <v>6.9</v>
      </c>
      <c r="F24" s="5">
        <v>6.0940337208605841</v>
      </c>
      <c r="G24" s="6">
        <f t="shared" si="0"/>
        <v>0.13225497528517116</v>
      </c>
    </row>
    <row r="25" spans="1:11" x14ac:dyDescent="0.3">
      <c r="A25" s="2" t="s">
        <v>108</v>
      </c>
      <c r="B25" s="2" t="s">
        <v>55</v>
      </c>
      <c r="C25" s="2">
        <v>49</v>
      </c>
      <c r="D25" s="2">
        <v>732673</v>
      </c>
      <c r="E25" s="2">
        <v>6.7</v>
      </c>
      <c r="F25" s="5">
        <v>7.5183344838663375</v>
      </c>
      <c r="G25" s="6">
        <f t="shared" si="0"/>
        <v>-0.10884518181818177</v>
      </c>
      <c r="I25" s="2">
        <f>C25-19</f>
        <v>30</v>
      </c>
      <c r="J25" s="2">
        <f>D25-288121</f>
        <v>444552</v>
      </c>
      <c r="K25" s="5">
        <f>(I25/J25)*100000</f>
        <v>6.7483668952113582</v>
      </c>
    </row>
    <row r="26" spans="1:11" x14ac:dyDescent="0.3">
      <c r="A26" s="2" t="s">
        <v>82</v>
      </c>
      <c r="B26" s="2" t="s">
        <v>55</v>
      </c>
      <c r="C26" s="2">
        <v>1456</v>
      </c>
      <c r="D26" s="2">
        <v>21781128</v>
      </c>
      <c r="E26" s="2">
        <v>6.7</v>
      </c>
      <c r="F26" s="5">
        <v>7.0525898953333455</v>
      </c>
      <c r="G26" s="6">
        <f t="shared" si="0"/>
        <v>-4.999438512179076E-2</v>
      </c>
      <c r="I26" s="2">
        <f>C26-131</f>
        <v>1325</v>
      </c>
      <c r="J26" s="2">
        <f>D26-999935</f>
        <v>20781193</v>
      </c>
      <c r="K26" s="5">
        <f>(I26/J26)*100000</f>
        <v>6.375957337964187</v>
      </c>
    </row>
    <row r="27" spans="1:11" x14ac:dyDescent="0.3">
      <c r="A27" s="2" t="s">
        <v>83</v>
      </c>
      <c r="B27" s="2" t="s">
        <v>56</v>
      </c>
      <c r="C27" s="2">
        <v>2454</v>
      </c>
      <c r="D27" s="2">
        <v>39237836</v>
      </c>
      <c r="E27" s="2">
        <v>6.3</v>
      </c>
      <c r="F27" s="5">
        <v>5.9029718059436114</v>
      </c>
      <c r="G27" s="6">
        <f t="shared" si="0"/>
        <v>6.7259036144578371E-2</v>
      </c>
    </row>
    <row r="28" spans="1:11" x14ac:dyDescent="0.3">
      <c r="A28" s="2" t="s">
        <v>84</v>
      </c>
      <c r="B28" s="2" t="s">
        <v>55</v>
      </c>
      <c r="C28" s="2">
        <v>113</v>
      </c>
      <c r="D28" s="2">
        <v>1782959</v>
      </c>
      <c r="E28" s="2">
        <v>6.3</v>
      </c>
      <c r="F28" s="5">
        <v>6.3616071428571423</v>
      </c>
      <c r="G28" s="6">
        <f t="shared" si="0"/>
        <v>-9.6842105263157379E-3</v>
      </c>
      <c r="I28" s="2">
        <f>C28-15</f>
        <v>98</v>
      </c>
      <c r="J28" s="2">
        <f>D28-177952</f>
        <v>1605007</v>
      </c>
      <c r="K28" s="5">
        <f>(I28/J28)*100000</f>
        <v>6.1058923730550703</v>
      </c>
    </row>
    <row r="29" spans="1:11" x14ac:dyDescent="0.3">
      <c r="A29" s="2" t="s">
        <v>85</v>
      </c>
      <c r="B29" s="2" t="s">
        <v>56</v>
      </c>
      <c r="C29" s="2">
        <v>362</v>
      </c>
      <c r="D29" s="2">
        <v>5812069</v>
      </c>
      <c r="E29" s="2">
        <v>6.2</v>
      </c>
      <c r="F29" s="5">
        <v>5.6829113486370257</v>
      </c>
      <c r="G29" s="6">
        <f t="shared" si="0"/>
        <v>9.0990096385542174E-2</v>
      </c>
    </row>
    <row r="30" spans="1:11" x14ac:dyDescent="0.3">
      <c r="A30" s="2" t="s">
        <v>86</v>
      </c>
      <c r="B30" s="2" t="s">
        <v>55</v>
      </c>
      <c r="C30" s="2">
        <v>180</v>
      </c>
      <c r="D30" s="2">
        <v>2934582</v>
      </c>
      <c r="E30" s="2">
        <v>6.1</v>
      </c>
      <c r="F30" s="5">
        <v>6.6034010919438497</v>
      </c>
      <c r="G30" s="6">
        <f t="shared" si="0"/>
        <v>-7.6233608247422605E-2</v>
      </c>
      <c r="I30" s="2">
        <f>C30-58</f>
        <v>122</v>
      </c>
      <c r="J30" s="2">
        <f>D30-523828</f>
        <v>2410754</v>
      </c>
      <c r="K30" s="5">
        <f>(I30/J30)*100000</f>
        <v>5.0606573710963456</v>
      </c>
    </row>
    <row r="31" spans="1:11" x14ac:dyDescent="0.3">
      <c r="A31" s="2" t="s">
        <v>87</v>
      </c>
      <c r="B31" s="2" t="s">
        <v>56</v>
      </c>
      <c r="C31" s="2">
        <v>344</v>
      </c>
      <c r="D31" s="2">
        <v>5895908</v>
      </c>
      <c r="E31" s="2">
        <v>5.8</v>
      </c>
      <c r="F31" s="5">
        <v>5.5991820443394138</v>
      </c>
      <c r="G31" s="6">
        <f t="shared" si="0"/>
        <v>3.5865587878787811E-2</v>
      </c>
    </row>
    <row r="32" spans="1:11" x14ac:dyDescent="0.3">
      <c r="A32" s="2" t="s">
        <v>88</v>
      </c>
      <c r="B32" s="2" t="s">
        <v>55</v>
      </c>
      <c r="C32" s="2">
        <v>45</v>
      </c>
      <c r="D32" s="2">
        <v>895376</v>
      </c>
      <c r="E32" s="2">
        <v>5</v>
      </c>
      <c r="F32" s="5">
        <v>5.8646594493761475</v>
      </c>
      <c r="G32" s="6">
        <f t="shared" si="0"/>
        <v>-0.14743557692307702</v>
      </c>
      <c r="I32" s="2">
        <f>C32-12</f>
        <v>33</v>
      </c>
      <c r="J32" s="2">
        <f>D32-111806</f>
        <v>783570</v>
      </c>
      <c r="K32" s="5">
        <f>(I32/J32)*100000</f>
        <v>4.2114935487576091</v>
      </c>
    </row>
    <row r="33" spans="1:11" x14ac:dyDescent="0.3">
      <c r="A33" s="2" t="s">
        <v>89</v>
      </c>
      <c r="B33" s="2" t="s">
        <v>56</v>
      </c>
      <c r="C33" s="2">
        <v>201</v>
      </c>
      <c r="D33" s="2">
        <v>4246155</v>
      </c>
      <c r="E33" s="2">
        <v>4.7</v>
      </c>
      <c r="F33" s="5">
        <v>3.6510194404931249</v>
      </c>
      <c r="G33" s="6">
        <f t="shared" si="0"/>
        <v>0.2873116883116883</v>
      </c>
    </row>
    <row r="34" spans="1:11" x14ac:dyDescent="0.3">
      <c r="A34" s="2" t="s">
        <v>90</v>
      </c>
      <c r="B34" s="2" t="s">
        <v>56</v>
      </c>
      <c r="C34" s="2">
        <v>896</v>
      </c>
      <c r="D34" s="2">
        <v>19835913</v>
      </c>
      <c r="E34" s="2">
        <v>4.5</v>
      </c>
      <c r="F34" s="5">
        <v>4.2274613812244981</v>
      </c>
      <c r="G34" s="6">
        <f t="shared" ref="G34:G51" si="1">(E34-F34)/F34</f>
        <v>6.4468624121779727E-2</v>
      </c>
    </row>
    <row r="35" spans="1:11" x14ac:dyDescent="0.3">
      <c r="A35" s="2" t="s">
        <v>91</v>
      </c>
      <c r="B35" s="2" t="s">
        <v>56</v>
      </c>
      <c r="C35" s="2">
        <v>157</v>
      </c>
      <c r="D35" s="2">
        <v>3605597</v>
      </c>
      <c r="E35" s="2">
        <v>4.4000000000000004</v>
      </c>
      <c r="F35" s="5">
        <v>4.2356241234221592</v>
      </c>
      <c r="G35" s="6">
        <f t="shared" si="1"/>
        <v>3.8807947019867797E-2</v>
      </c>
    </row>
    <row r="36" spans="1:11" x14ac:dyDescent="0.3">
      <c r="A36" s="2" t="s">
        <v>92</v>
      </c>
      <c r="B36" s="2" t="s">
        <v>56</v>
      </c>
      <c r="C36" s="2">
        <v>405</v>
      </c>
      <c r="D36" s="2">
        <v>9267130</v>
      </c>
      <c r="E36" s="2">
        <v>4.4000000000000004</v>
      </c>
      <c r="F36" s="5">
        <v>4.0531411844179237</v>
      </c>
      <c r="G36" s="6">
        <f t="shared" si="1"/>
        <v>8.5577777777777919E-2</v>
      </c>
    </row>
    <row r="37" spans="1:11" x14ac:dyDescent="0.3">
      <c r="A37" s="2" t="s">
        <v>93</v>
      </c>
      <c r="B37" s="2" t="s">
        <v>56</v>
      </c>
      <c r="C37" s="2">
        <v>338</v>
      </c>
      <c r="D37" s="2">
        <v>7738692</v>
      </c>
      <c r="E37" s="2">
        <v>4.4000000000000004</v>
      </c>
      <c r="F37" s="5">
        <v>4.0881899636895591</v>
      </c>
      <c r="G37" s="6">
        <f t="shared" si="1"/>
        <v>7.6270926517571891E-2</v>
      </c>
    </row>
    <row r="38" spans="1:11" x14ac:dyDescent="0.3">
      <c r="A38" s="2" t="s">
        <v>94</v>
      </c>
      <c r="B38" s="2" t="s">
        <v>55</v>
      </c>
      <c r="C38" s="2">
        <v>45</v>
      </c>
      <c r="D38" s="2">
        <v>1104271</v>
      </c>
      <c r="E38" s="2">
        <v>4.0999999999999996</v>
      </c>
      <c r="F38" s="5">
        <v>6.0153047862392039</v>
      </c>
      <c r="G38" s="6">
        <f t="shared" si="1"/>
        <v>-0.31840527692307702</v>
      </c>
      <c r="I38" s="2">
        <f>C38-12</f>
        <v>33</v>
      </c>
      <c r="J38" s="2">
        <f>D38-167146</f>
        <v>937125</v>
      </c>
      <c r="K38" s="5">
        <f>(I38/J38)*100000</f>
        <v>3.52140856342537</v>
      </c>
    </row>
    <row r="39" spans="1:11" x14ac:dyDescent="0.3">
      <c r="A39" s="2" t="s">
        <v>95</v>
      </c>
      <c r="B39" s="2" t="s">
        <v>56</v>
      </c>
      <c r="C39" s="2">
        <v>228</v>
      </c>
      <c r="D39" s="2">
        <v>5707390</v>
      </c>
      <c r="E39" s="2">
        <v>4</v>
      </c>
      <c r="F39" s="5">
        <v>2.8592162554426706</v>
      </c>
      <c r="G39" s="6">
        <f t="shared" si="1"/>
        <v>0.39898477157360407</v>
      </c>
    </row>
    <row r="40" spans="1:11" x14ac:dyDescent="0.3">
      <c r="A40" s="2" t="s">
        <v>96</v>
      </c>
      <c r="B40" s="2" t="s">
        <v>56</v>
      </c>
      <c r="C40" s="2">
        <v>39</v>
      </c>
      <c r="D40" s="2">
        <v>1095610</v>
      </c>
      <c r="E40" s="2">
        <v>3.6</v>
      </c>
      <c r="F40" s="5">
        <v>2.7432895825943007</v>
      </c>
      <c r="G40" s="6">
        <f t="shared" si="1"/>
        <v>0.31229310344827588</v>
      </c>
    </row>
    <row r="41" spans="1:11" x14ac:dyDescent="0.3">
      <c r="A41" s="2" t="s">
        <v>97</v>
      </c>
      <c r="B41" s="2" t="s">
        <v>55</v>
      </c>
      <c r="C41" s="2">
        <v>69</v>
      </c>
      <c r="D41" s="2">
        <v>1963692</v>
      </c>
      <c r="E41" s="2">
        <v>3.5</v>
      </c>
      <c r="F41" s="5">
        <v>3.874577874936783</v>
      </c>
      <c r="G41" s="6">
        <f t="shared" si="1"/>
        <v>-9.6675789473684159E-2</v>
      </c>
      <c r="I41" s="2">
        <f>C41-34</f>
        <v>35</v>
      </c>
      <c r="J41" s="2">
        <f>D41-585008</f>
        <v>1378684</v>
      </c>
      <c r="K41" s="5">
        <f>(I41/J41)*100000</f>
        <v>2.5386528022374959</v>
      </c>
    </row>
    <row r="42" spans="1:11" x14ac:dyDescent="0.3">
      <c r="A42" s="2" t="s">
        <v>98</v>
      </c>
      <c r="B42" s="2" t="s">
        <v>55</v>
      </c>
      <c r="C42" s="2">
        <v>24</v>
      </c>
      <c r="D42" s="2">
        <v>774948</v>
      </c>
      <c r="E42" s="2">
        <v>3.1</v>
      </c>
      <c r="F42" s="5">
        <v>3.8506264969310502</v>
      </c>
      <c r="G42" s="6">
        <f t="shared" si="1"/>
        <v>-0.19493619999999987</v>
      </c>
      <c r="I42" s="2">
        <v>24</v>
      </c>
      <c r="J42" s="2">
        <v>774948</v>
      </c>
      <c r="K42" s="2">
        <v>3.1</v>
      </c>
    </row>
    <row r="43" spans="1:11" x14ac:dyDescent="0.3">
      <c r="A43" s="2" t="s">
        <v>99</v>
      </c>
      <c r="B43" s="2" t="s">
        <v>55</v>
      </c>
      <c r="C43" s="2">
        <v>94</v>
      </c>
      <c r="D43" s="2">
        <v>3193079</v>
      </c>
      <c r="E43" s="2">
        <v>2.9</v>
      </c>
      <c r="F43" s="5">
        <v>3.3597464342313788</v>
      </c>
      <c r="G43" s="6">
        <f t="shared" si="1"/>
        <v>-0.13683962264150945</v>
      </c>
      <c r="I43" s="2">
        <f>C43-14</f>
        <v>80</v>
      </c>
      <c r="J43" s="2">
        <f>D43-228939</f>
        <v>2964140</v>
      </c>
      <c r="K43" s="5">
        <f>(I43/J43)*100000</f>
        <v>2.6989278509112253</v>
      </c>
    </row>
    <row r="44" spans="1:11" x14ac:dyDescent="0.3">
      <c r="A44" s="2" t="s">
        <v>100</v>
      </c>
      <c r="B44" s="2" t="s">
        <v>55</v>
      </c>
      <c r="C44" s="2">
        <v>16</v>
      </c>
      <c r="D44" s="2">
        <v>578803</v>
      </c>
      <c r="E44" s="3">
        <v>2.8</v>
      </c>
      <c r="F44" s="5">
        <v>4.3338747787556926</v>
      </c>
      <c r="G44" s="6">
        <f t="shared" si="1"/>
        <v>-0.35392688000000005</v>
      </c>
      <c r="I44" s="2">
        <v>16</v>
      </c>
      <c r="J44" s="2">
        <v>578803</v>
      </c>
      <c r="K44" s="3">
        <v>2.8</v>
      </c>
    </row>
    <row r="45" spans="1:11" x14ac:dyDescent="0.3">
      <c r="A45" s="2" t="s">
        <v>101</v>
      </c>
      <c r="B45" s="2" t="s">
        <v>56</v>
      </c>
      <c r="C45" s="2">
        <v>39</v>
      </c>
      <c r="D45" s="2">
        <v>1441553</v>
      </c>
      <c r="E45" s="2">
        <v>2.7</v>
      </c>
      <c r="F45" s="5">
        <v>3.1779661016949152</v>
      </c>
      <c r="G45" s="6">
        <f t="shared" si="1"/>
        <v>-0.15039999999999992</v>
      </c>
    </row>
    <row r="46" spans="1:11" x14ac:dyDescent="0.3">
      <c r="A46" s="2" t="s">
        <v>102</v>
      </c>
      <c r="B46" s="2" t="s">
        <v>55</v>
      </c>
      <c r="C46" s="2">
        <v>91</v>
      </c>
      <c r="D46" s="2">
        <v>3337975</v>
      </c>
      <c r="E46" s="2">
        <v>2.7</v>
      </c>
      <c r="F46" s="5">
        <v>2.9320024953212727</v>
      </c>
      <c r="G46" s="6">
        <f t="shared" si="1"/>
        <v>-7.9127659574468046E-2</v>
      </c>
      <c r="I46" s="2">
        <f>C46-58</f>
        <v>33</v>
      </c>
      <c r="J46" s="2">
        <f>D46-1186421</f>
        <v>2151554</v>
      </c>
      <c r="K46" s="5">
        <f>(I46/J46)*100000</f>
        <v>1.5337751225393366</v>
      </c>
    </row>
    <row r="47" spans="1:11" x14ac:dyDescent="0.3">
      <c r="A47" s="2" t="s">
        <v>103</v>
      </c>
      <c r="B47" s="2" t="s">
        <v>56</v>
      </c>
      <c r="C47" s="2">
        <v>155</v>
      </c>
      <c r="D47" s="2">
        <v>6984723</v>
      </c>
      <c r="E47" s="2">
        <v>2.2000000000000002</v>
      </c>
      <c r="F47" s="5">
        <v>2.5689404934687956</v>
      </c>
      <c r="G47" s="6">
        <f t="shared" si="1"/>
        <v>-0.14361581920903957</v>
      </c>
    </row>
    <row r="48" spans="1:11" x14ac:dyDescent="0.3">
      <c r="A48" s="2" t="s">
        <v>104</v>
      </c>
      <c r="B48" s="2" t="s">
        <v>55</v>
      </c>
      <c r="C48" s="2">
        <v>40</v>
      </c>
      <c r="D48" s="2">
        <v>1900923</v>
      </c>
      <c r="E48" s="2">
        <v>2.1</v>
      </c>
      <c r="F48" s="5">
        <v>2.283718284862319</v>
      </c>
      <c r="G48" s="6">
        <f t="shared" si="1"/>
        <v>-8.0446999999999963E-2</v>
      </c>
      <c r="I48" s="2">
        <v>40</v>
      </c>
      <c r="J48" s="2">
        <v>1900923</v>
      </c>
      <c r="K48" s="2">
        <v>2.1</v>
      </c>
    </row>
    <row r="49" spans="1:11" x14ac:dyDescent="0.3">
      <c r="A49" s="2" t="s">
        <v>105</v>
      </c>
      <c r="B49" s="2" t="s">
        <v>56</v>
      </c>
      <c r="C49" s="2">
        <v>20</v>
      </c>
      <c r="D49" s="2">
        <v>1372247</v>
      </c>
      <c r="E49" s="2">
        <v>1.5</v>
      </c>
      <c r="F49" s="5">
        <v>1.5625</v>
      </c>
      <c r="G49" s="6">
        <f t="shared" si="1"/>
        <v>-0.04</v>
      </c>
    </row>
    <row r="50" spans="1:11" x14ac:dyDescent="0.3">
      <c r="A50" s="2" t="s">
        <v>106</v>
      </c>
      <c r="B50" s="2" t="s">
        <v>56</v>
      </c>
      <c r="C50" s="2">
        <v>9</v>
      </c>
      <c r="D50" s="2">
        <v>645570</v>
      </c>
      <c r="E50" s="3">
        <f>(C50/D50)*100000</f>
        <v>1.3941168269901019</v>
      </c>
      <c r="F50" s="5">
        <v>2.243629294747183</v>
      </c>
      <c r="G50" s="6">
        <f t="shared" si="1"/>
        <v>-0.37863316803090952</v>
      </c>
    </row>
    <row r="51" spans="1:11" x14ac:dyDescent="0.3">
      <c r="A51" s="2" t="s">
        <v>107</v>
      </c>
      <c r="B51" s="2" t="s">
        <v>56</v>
      </c>
      <c r="C51" s="2">
        <v>14</v>
      </c>
      <c r="D51" s="2">
        <v>1388992</v>
      </c>
      <c r="E51" s="3">
        <f>(C51/D51)*100000</f>
        <v>1.0079251716352577</v>
      </c>
      <c r="F51" s="5">
        <v>1.0294117647058825</v>
      </c>
      <c r="G51" s="6">
        <f t="shared" si="1"/>
        <v>-2.0872690411464018E-2</v>
      </c>
    </row>
    <row r="53" spans="1:11" x14ac:dyDescent="0.3">
      <c r="A53" s="2" t="s">
        <v>133</v>
      </c>
      <c r="C53" s="2">
        <f>SUM(C2:C51)</f>
        <v>25544</v>
      </c>
      <c r="D53" s="2">
        <f>SUM(D2:D51)</f>
        <v>331223695</v>
      </c>
      <c r="I53" s="2">
        <f>SUM(I2:I51)</f>
        <v>10149</v>
      </c>
      <c r="J53" s="2">
        <f>SUM(J2:J51)</f>
        <v>124900489</v>
      </c>
      <c r="K53" s="5">
        <f>(I53/J53)*100000</f>
        <v>8.1256687473817664</v>
      </c>
    </row>
    <row r="54" spans="1:11" x14ac:dyDescent="0.3">
      <c r="K54" s="2">
        <v>6.75</v>
      </c>
    </row>
    <row r="55" spans="1:11" x14ac:dyDescent="0.3">
      <c r="D55" s="5">
        <f>(C53/D53)*100000</f>
        <v>7.7120086472074405</v>
      </c>
    </row>
    <row r="56" spans="1:11" x14ac:dyDescent="0.3">
      <c r="K56" s="6">
        <f>(K53-K54)/K54</f>
        <v>0.2038027773898913</v>
      </c>
    </row>
  </sheetData>
  <autoFilter ref="A1:K1" xr:uid="{00000000-0001-0000-0000-000000000000}">
    <sortState xmlns:xlrd2="http://schemas.microsoft.com/office/spreadsheetml/2017/richdata2" ref="A2:K51">
      <sortCondition descending="1" ref="E1"/>
    </sortState>
  </autoFilter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D59" sqref="D59"/>
    </sheetView>
  </sheetViews>
  <sheetFormatPr defaultRowHeight="14" x14ac:dyDescent="0.3"/>
  <cols>
    <col min="1" max="1" width="15.7265625" style="2" customWidth="1"/>
    <col min="2" max="2" width="10.26953125" style="2" customWidth="1"/>
    <col min="3" max="3" width="11.81640625" style="2" customWidth="1"/>
    <col min="4" max="4" width="15.453125" style="2" customWidth="1"/>
    <col min="5" max="5" width="12.453125" style="2" customWidth="1"/>
    <col min="6" max="6" width="13.453125" style="2" customWidth="1"/>
    <col min="7" max="7" width="12.7265625" style="2" customWidth="1"/>
    <col min="8" max="16384" width="8.7265625" style="2"/>
  </cols>
  <sheetData>
    <row r="1" spans="1:7" x14ac:dyDescent="0.3">
      <c r="A1" s="1" t="s">
        <v>0</v>
      </c>
      <c r="B1" s="1" t="s">
        <v>54</v>
      </c>
      <c r="C1" s="1" t="s">
        <v>1</v>
      </c>
      <c r="D1" s="1" t="s">
        <v>2</v>
      </c>
      <c r="E1" s="1" t="s">
        <v>53</v>
      </c>
      <c r="F1" s="1" t="s">
        <v>57</v>
      </c>
      <c r="G1" s="1" t="s">
        <v>58</v>
      </c>
    </row>
    <row r="2" spans="1:7" x14ac:dyDescent="0.3">
      <c r="A2" s="2" t="s">
        <v>33</v>
      </c>
      <c r="B2" s="2" t="s">
        <v>56</v>
      </c>
      <c r="C2" s="2">
        <v>304</v>
      </c>
      <c r="D2" s="2">
        <v>2115877</v>
      </c>
      <c r="E2" s="2">
        <f t="shared" ref="E2:E26" si="0">G2</f>
        <v>14.4</v>
      </c>
      <c r="G2" s="2">
        <v>14.4</v>
      </c>
    </row>
    <row r="3" spans="1:7" x14ac:dyDescent="0.3">
      <c r="A3" s="2" t="s">
        <v>15</v>
      </c>
      <c r="B3" s="2" t="s">
        <v>56</v>
      </c>
      <c r="C3" s="2">
        <v>1479</v>
      </c>
      <c r="D3" s="2">
        <v>12671469</v>
      </c>
      <c r="E3" s="2">
        <f t="shared" si="0"/>
        <v>11.7</v>
      </c>
      <c r="G3" s="2">
        <v>11.7</v>
      </c>
    </row>
    <row r="4" spans="1:7" x14ac:dyDescent="0.3">
      <c r="A4" s="2" t="s">
        <v>22</v>
      </c>
      <c r="B4" s="2" t="s">
        <v>56</v>
      </c>
      <c r="C4" s="2">
        <v>703</v>
      </c>
      <c r="D4" s="2">
        <v>6165129</v>
      </c>
      <c r="E4" s="2">
        <f t="shared" si="0"/>
        <v>11.4</v>
      </c>
      <c r="G4" s="2">
        <v>11.4</v>
      </c>
    </row>
    <row r="5" spans="1:7" x14ac:dyDescent="0.3">
      <c r="A5" s="2" t="s">
        <v>12</v>
      </c>
      <c r="B5" s="2" t="s">
        <v>56</v>
      </c>
      <c r="C5" s="2">
        <v>1201</v>
      </c>
      <c r="D5" s="2">
        <v>10799566</v>
      </c>
      <c r="E5" s="2">
        <f t="shared" si="0"/>
        <v>11.1</v>
      </c>
      <c r="G5" s="2">
        <v>11.1</v>
      </c>
    </row>
    <row r="6" spans="1:7" x14ac:dyDescent="0.3">
      <c r="A6" s="2" t="s">
        <v>10</v>
      </c>
      <c r="B6" s="2" t="s">
        <v>56</v>
      </c>
      <c r="C6" s="2">
        <v>102</v>
      </c>
      <c r="D6" s="2">
        <v>1003384</v>
      </c>
      <c r="E6" s="2">
        <f t="shared" si="0"/>
        <v>10.199999999999999</v>
      </c>
      <c r="G6" s="2">
        <v>10.199999999999999</v>
      </c>
    </row>
    <row r="7" spans="1:7" x14ac:dyDescent="0.3">
      <c r="A7" s="2" t="s">
        <v>30</v>
      </c>
      <c r="B7" s="2" t="s">
        <v>56</v>
      </c>
      <c r="C7" s="2">
        <v>264</v>
      </c>
      <c r="D7" s="2">
        <v>3143991</v>
      </c>
      <c r="E7" s="2">
        <f t="shared" si="0"/>
        <v>8.4</v>
      </c>
      <c r="G7" s="2">
        <v>8.4</v>
      </c>
    </row>
    <row r="8" spans="1:7" x14ac:dyDescent="0.3">
      <c r="A8" s="2" t="s">
        <v>40</v>
      </c>
      <c r="B8" s="2" t="s">
        <v>56</v>
      </c>
      <c r="C8" s="2">
        <v>1093</v>
      </c>
      <c r="D8" s="2">
        <v>12964056</v>
      </c>
      <c r="E8" s="2">
        <f t="shared" si="0"/>
        <v>8.4</v>
      </c>
      <c r="G8" s="2">
        <v>8.4</v>
      </c>
    </row>
    <row r="9" spans="1:7" x14ac:dyDescent="0.3">
      <c r="A9" s="2" t="s">
        <v>24</v>
      </c>
      <c r="B9" s="2" t="s">
        <v>56</v>
      </c>
      <c r="C9" s="2">
        <v>814</v>
      </c>
      <c r="D9" s="2">
        <v>10050811</v>
      </c>
      <c r="E9" s="2">
        <f t="shared" si="0"/>
        <v>8.1</v>
      </c>
      <c r="G9" s="2">
        <v>8.1</v>
      </c>
    </row>
    <row r="10" spans="1:7" x14ac:dyDescent="0.3">
      <c r="A10" s="2" t="s">
        <v>5</v>
      </c>
      <c r="B10" s="2" t="s">
        <v>56</v>
      </c>
      <c r="C10" s="2">
        <v>552</v>
      </c>
      <c r="D10" s="2">
        <v>7276316</v>
      </c>
      <c r="E10" s="2">
        <f t="shared" si="0"/>
        <v>7.6</v>
      </c>
      <c r="G10" s="2">
        <v>7.6</v>
      </c>
    </row>
    <row r="11" spans="1:7" x14ac:dyDescent="0.3">
      <c r="A11" s="2" t="s">
        <v>48</v>
      </c>
      <c r="B11" s="2" t="s">
        <v>56</v>
      </c>
      <c r="C11" s="2">
        <v>600</v>
      </c>
      <c r="D11" s="2">
        <v>8642274</v>
      </c>
      <c r="E11" s="2">
        <f t="shared" si="0"/>
        <v>6.9</v>
      </c>
      <c r="G11" s="2">
        <v>6.9</v>
      </c>
    </row>
    <row r="12" spans="1:7" x14ac:dyDescent="0.3">
      <c r="A12" s="2" t="s">
        <v>7</v>
      </c>
      <c r="B12" s="2" t="s">
        <v>56</v>
      </c>
      <c r="C12" s="2">
        <v>2454</v>
      </c>
      <c r="D12" s="2">
        <v>39237836</v>
      </c>
      <c r="E12" s="2">
        <f t="shared" si="0"/>
        <v>6.3</v>
      </c>
      <c r="G12" s="2">
        <v>6.3</v>
      </c>
    </row>
    <row r="13" spans="1:7" x14ac:dyDescent="0.3">
      <c r="A13" s="2" t="s">
        <v>8</v>
      </c>
      <c r="B13" s="2" t="s">
        <v>56</v>
      </c>
      <c r="C13" s="2">
        <v>362</v>
      </c>
      <c r="D13" s="2">
        <v>5812069</v>
      </c>
      <c r="E13" s="2">
        <f t="shared" si="0"/>
        <v>6.2</v>
      </c>
      <c r="G13" s="2">
        <v>6.2</v>
      </c>
    </row>
    <row r="14" spans="1:7" x14ac:dyDescent="0.3">
      <c r="A14" s="2" t="s">
        <v>51</v>
      </c>
      <c r="B14" s="2" t="s">
        <v>56</v>
      </c>
      <c r="C14" s="2">
        <v>344</v>
      </c>
      <c r="D14" s="2">
        <v>5895908</v>
      </c>
      <c r="E14" s="2">
        <f t="shared" si="0"/>
        <v>5.8</v>
      </c>
      <c r="G14" s="2">
        <v>5.8</v>
      </c>
    </row>
    <row r="15" spans="1:7" x14ac:dyDescent="0.3">
      <c r="A15" s="2" t="s">
        <v>39</v>
      </c>
      <c r="B15" s="2" t="s">
        <v>56</v>
      </c>
      <c r="C15" s="2">
        <v>201</v>
      </c>
      <c r="D15" s="2">
        <v>4246155</v>
      </c>
      <c r="E15" s="2">
        <f t="shared" si="0"/>
        <v>4.7</v>
      </c>
      <c r="G15" s="2">
        <v>4.7</v>
      </c>
    </row>
    <row r="16" spans="1:7" x14ac:dyDescent="0.3">
      <c r="A16" s="2" t="s">
        <v>34</v>
      </c>
      <c r="B16" s="2" t="s">
        <v>56</v>
      </c>
      <c r="C16" s="2">
        <v>896</v>
      </c>
      <c r="D16" s="2">
        <v>19835913</v>
      </c>
      <c r="E16" s="2">
        <f t="shared" si="0"/>
        <v>4.5</v>
      </c>
      <c r="G16" s="2">
        <v>4.5</v>
      </c>
    </row>
    <row r="17" spans="1:7" x14ac:dyDescent="0.3">
      <c r="A17" s="2" t="s">
        <v>9</v>
      </c>
      <c r="B17" s="2" t="s">
        <v>56</v>
      </c>
      <c r="C17" s="2">
        <v>157</v>
      </c>
      <c r="D17" s="2">
        <v>3605597</v>
      </c>
      <c r="E17" s="2">
        <f t="shared" si="0"/>
        <v>4.4000000000000004</v>
      </c>
      <c r="G17" s="2">
        <v>4.4000000000000004</v>
      </c>
    </row>
    <row r="18" spans="1:7" x14ac:dyDescent="0.3">
      <c r="A18" s="2" t="s">
        <v>32</v>
      </c>
      <c r="B18" s="2" t="s">
        <v>56</v>
      </c>
      <c r="C18" s="2">
        <v>405</v>
      </c>
      <c r="D18" s="2">
        <v>9267130</v>
      </c>
      <c r="E18" s="2">
        <f t="shared" si="0"/>
        <v>4.4000000000000004</v>
      </c>
      <c r="G18" s="2">
        <v>4.4000000000000004</v>
      </c>
    </row>
    <row r="19" spans="1:7" x14ac:dyDescent="0.3">
      <c r="A19" s="2" t="s">
        <v>49</v>
      </c>
      <c r="B19" s="2" t="s">
        <v>56</v>
      </c>
      <c r="C19" s="2">
        <v>338</v>
      </c>
      <c r="D19" s="2">
        <v>7738692</v>
      </c>
      <c r="E19" s="2">
        <f t="shared" si="0"/>
        <v>4.4000000000000004</v>
      </c>
      <c r="G19" s="2">
        <v>4.4000000000000004</v>
      </c>
    </row>
    <row r="20" spans="1:7" x14ac:dyDescent="0.3">
      <c r="A20" s="2" t="s">
        <v>25</v>
      </c>
      <c r="B20" s="2" t="s">
        <v>56</v>
      </c>
      <c r="C20" s="2">
        <v>228</v>
      </c>
      <c r="D20" s="2">
        <v>5707390</v>
      </c>
      <c r="E20" s="2">
        <f t="shared" si="0"/>
        <v>4</v>
      </c>
      <c r="G20" s="2">
        <v>4</v>
      </c>
    </row>
    <row r="21" spans="1:7" x14ac:dyDescent="0.3">
      <c r="A21" s="2" t="s">
        <v>41</v>
      </c>
      <c r="B21" s="2" t="s">
        <v>56</v>
      </c>
      <c r="C21" s="2">
        <v>39</v>
      </c>
      <c r="D21" s="2">
        <v>1095610</v>
      </c>
      <c r="E21" s="2">
        <f t="shared" si="0"/>
        <v>3.6</v>
      </c>
      <c r="G21" s="2">
        <v>3.6</v>
      </c>
    </row>
    <row r="22" spans="1:7" x14ac:dyDescent="0.3">
      <c r="A22" s="2" t="s">
        <v>13</v>
      </c>
      <c r="B22" s="2" t="s">
        <v>56</v>
      </c>
      <c r="C22" s="2">
        <v>39</v>
      </c>
      <c r="D22" s="2">
        <v>1441553</v>
      </c>
      <c r="E22" s="2">
        <f t="shared" si="0"/>
        <v>2.7</v>
      </c>
      <c r="G22" s="2">
        <v>2.7</v>
      </c>
    </row>
    <row r="23" spans="1:7" x14ac:dyDescent="0.3">
      <c r="A23" s="2" t="s">
        <v>23</v>
      </c>
      <c r="B23" s="2" t="s">
        <v>56</v>
      </c>
      <c r="C23" s="2">
        <v>155</v>
      </c>
      <c r="D23" s="2">
        <v>6984723</v>
      </c>
      <c r="E23" s="2">
        <f t="shared" si="0"/>
        <v>2.2000000000000002</v>
      </c>
      <c r="G23" s="2">
        <v>2.2000000000000002</v>
      </c>
    </row>
    <row r="24" spans="1:7" x14ac:dyDescent="0.3">
      <c r="A24" s="2" t="s">
        <v>21</v>
      </c>
      <c r="B24" s="2" t="s">
        <v>56</v>
      </c>
      <c r="C24" s="2">
        <v>20</v>
      </c>
      <c r="D24" s="2">
        <v>1372247</v>
      </c>
      <c r="E24" s="2">
        <f t="shared" si="0"/>
        <v>1.5</v>
      </c>
      <c r="G24" s="2">
        <v>1.5</v>
      </c>
    </row>
    <row r="25" spans="1:7" x14ac:dyDescent="0.3">
      <c r="A25" s="2" t="s">
        <v>47</v>
      </c>
      <c r="B25" s="2" t="s">
        <v>56</v>
      </c>
      <c r="C25" s="2">
        <v>9</v>
      </c>
      <c r="D25" s="2">
        <v>645570</v>
      </c>
      <c r="E25" s="3">
        <f t="shared" si="0"/>
        <v>1.3941168269901019</v>
      </c>
      <c r="G25" s="3">
        <f>(C25/D25)*100000</f>
        <v>1.3941168269901019</v>
      </c>
    </row>
    <row r="26" spans="1:7" x14ac:dyDescent="0.3">
      <c r="A26" s="2" t="s">
        <v>31</v>
      </c>
      <c r="B26" s="2" t="s">
        <v>56</v>
      </c>
      <c r="C26" s="2">
        <v>14</v>
      </c>
      <c r="D26" s="2">
        <v>1388992</v>
      </c>
      <c r="E26" s="3">
        <f t="shared" si="0"/>
        <v>1.0079251716352577</v>
      </c>
      <c r="G26" s="3">
        <f>(C26/D26)*100000</f>
        <v>1.0079251716352577</v>
      </c>
    </row>
    <row r="27" spans="1:7" x14ac:dyDescent="0.3">
      <c r="A27" s="2" t="s">
        <v>26</v>
      </c>
      <c r="B27" s="2" t="s">
        <v>55</v>
      </c>
      <c r="C27" s="2">
        <v>656</v>
      </c>
      <c r="D27" s="2">
        <v>2949965</v>
      </c>
      <c r="E27" s="2">
        <f t="shared" ref="E27:E51" si="1">F27</f>
        <v>22.2</v>
      </c>
      <c r="F27" s="2">
        <v>22.2</v>
      </c>
    </row>
    <row r="28" spans="1:7" x14ac:dyDescent="0.3">
      <c r="A28" s="2" t="s">
        <v>20</v>
      </c>
      <c r="B28" s="2" t="s">
        <v>55</v>
      </c>
      <c r="C28" s="2">
        <v>937</v>
      </c>
      <c r="D28" s="2">
        <v>4624047</v>
      </c>
      <c r="E28" s="2">
        <f t="shared" si="1"/>
        <v>20.3</v>
      </c>
      <c r="F28" s="2">
        <v>20.3</v>
      </c>
    </row>
    <row r="29" spans="1:7" x14ac:dyDescent="0.3">
      <c r="A29" s="2" t="s">
        <v>3</v>
      </c>
      <c r="B29" s="2" t="s">
        <v>55</v>
      </c>
      <c r="C29" s="2">
        <v>747</v>
      </c>
      <c r="D29" s="2">
        <v>5039877</v>
      </c>
      <c r="E29" s="2">
        <f t="shared" si="1"/>
        <v>14.8</v>
      </c>
      <c r="F29" s="2">
        <v>14.8</v>
      </c>
    </row>
    <row r="30" spans="1:7" x14ac:dyDescent="0.3">
      <c r="A30" s="2" t="s">
        <v>42</v>
      </c>
      <c r="B30" s="2" t="s">
        <v>55</v>
      </c>
      <c r="C30" s="2">
        <v>651</v>
      </c>
      <c r="D30" s="2">
        <v>5190705</v>
      </c>
      <c r="E30" s="2">
        <f t="shared" si="1"/>
        <v>12.5</v>
      </c>
      <c r="F30" s="2">
        <v>12.5</v>
      </c>
    </row>
    <row r="31" spans="1:7" x14ac:dyDescent="0.3">
      <c r="A31" s="2" t="s">
        <v>27</v>
      </c>
      <c r="B31" s="2" t="s">
        <v>55</v>
      </c>
      <c r="C31" s="2">
        <v>709</v>
      </c>
      <c r="D31" s="2">
        <v>6168187</v>
      </c>
      <c r="E31" s="2">
        <f t="shared" si="1"/>
        <v>11.5</v>
      </c>
      <c r="F31" s="2">
        <v>11.5</v>
      </c>
    </row>
    <row r="32" spans="1:7" x14ac:dyDescent="0.3">
      <c r="A32" s="2" t="s">
        <v>44</v>
      </c>
      <c r="B32" s="2" t="s">
        <v>55</v>
      </c>
      <c r="C32" s="2">
        <v>804</v>
      </c>
      <c r="D32" s="2">
        <v>6975218</v>
      </c>
      <c r="E32" s="2">
        <f t="shared" si="1"/>
        <v>11.5</v>
      </c>
      <c r="F32" s="2">
        <v>11.5</v>
      </c>
    </row>
    <row r="33" spans="1:6" x14ac:dyDescent="0.3">
      <c r="A33" s="2" t="s">
        <v>6</v>
      </c>
      <c r="B33" s="2" t="s">
        <v>55</v>
      </c>
      <c r="C33" s="2">
        <v>333</v>
      </c>
      <c r="D33" s="2">
        <v>3025891</v>
      </c>
      <c r="E33" s="2">
        <f t="shared" si="1"/>
        <v>11</v>
      </c>
      <c r="F33" s="2">
        <v>11</v>
      </c>
    </row>
    <row r="34" spans="1:6" x14ac:dyDescent="0.3">
      <c r="A34" s="2" t="s">
        <v>35</v>
      </c>
      <c r="B34" s="2" t="s">
        <v>55</v>
      </c>
      <c r="C34" s="2">
        <v>978</v>
      </c>
      <c r="D34" s="2">
        <v>10551162</v>
      </c>
      <c r="E34" s="2">
        <f t="shared" si="1"/>
        <v>9.3000000000000007</v>
      </c>
      <c r="F34" s="2">
        <v>9.3000000000000007</v>
      </c>
    </row>
    <row r="35" spans="1:6" x14ac:dyDescent="0.3">
      <c r="A35" s="2" t="s">
        <v>16</v>
      </c>
      <c r="B35" s="2" t="s">
        <v>55</v>
      </c>
      <c r="C35" s="2">
        <v>620</v>
      </c>
      <c r="D35" s="2">
        <v>6805985</v>
      </c>
      <c r="E35" s="2">
        <f t="shared" si="1"/>
        <v>9.1</v>
      </c>
      <c r="F35" s="2">
        <v>9.1</v>
      </c>
    </row>
    <row r="36" spans="1:6" x14ac:dyDescent="0.3">
      <c r="A36" s="2" t="s">
        <v>19</v>
      </c>
      <c r="B36" s="2" t="s">
        <v>55</v>
      </c>
      <c r="C36" s="2">
        <v>406</v>
      </c>
      <c r="D36" s="2">
        <v>4509394</v>
      </c>
      <c r="E36" s="2">
        <f t="shared" si="1"/>
        <v>9</v>
      </c>
      <c r="F36" s="2">
        <v>9</v>
      </c>
    </row>
    <row r="37" spans="1:6" x14ac:dyDescent="0.3">
      <c r="A37" s="2" t="s">
        <v>37</v>
      </c>
      <c r="B37" s="2" t="s">
        <v>55</v>
      </c>
      <c r="C37" s="2">
        <v>1008</v>
      </c>
      <c r="D37" s="2">
        <v>11780017</v>
      </c>
      <c r="E37" s="2">
        <f t="shared" si="1"/>
        <v>8.6</v>
      </c>
      <c r="F37" s="2">
        <v>8.6</v>
      </c>
    </row>
    <row r="38" spans="1:6" x14ac:dyDescent="0.3">
      <c r="A38" s="2" t="s">
        <v>38</v>
      </c>
      <c r="B38" s="2" t="s">
        <v>55</v>
      </c>
      <c r="C38" s="2">
        <v>339</v>
      </c>
      <c r="D38" s="2">
        <v>3986639</v>
      </c>
      <c r="E38" s="2">
        <f t="shared" si="1"/>
        <v>8.5</v>
      </c>
      <c r="F38" s="2">
        <v>8.5</v>
      </c>
    </row>
    <row r="39" spans="1:6" x14ac:dyDescent="0.3">
      <c r="A39" s="2" t="s">
        <v>45</v>
      </c>
      <c r="B39" s="2" t="s">
        <v>55</v>
      </c>
      <c r="C39" s="2">
        <v>2361</v>
      </c>
      <c r="D39" s="2">
        <v>29527941</v>
      </c>
      <c r="E39" s="2">
        <f t="shared" si="1"/>
        <v>8</v>
      </c>
      <c r="F39" s="2">
        <v>8</v>
      </c>
    </row>
    <row r="40" spans="1:6" x14ac:dyDescent="0.3">
      <c r="A40" s="2" t="s">
        <v>4</v>
      </c>
      <c r="B40" s="2" t="s">
        <v>55</v>
      </c>
      <c r="C40" s="2">
        <v>49</v>
      </c>
      <c r="D40" s="2">
        <v>732673</v>
      </c>
      <c r="E40" s="2">
        <f t="shared" si="1"/>
        <v>6.7</v>
      </c>
      <c r="F40" s="2">
        <v>6.7</v>
      </c>
    </row>
    <row r="41" spans="1:6" x14ac:dyDescent="0.3">
      <c r="A41" s="2" t="s">
        <v>11</v>
      </c>
      <c r="B41" s="2" t="s">
        <v>55</v>
      </c>
      <c r="C41" s="2">
        <v>1456</v>
      </c>
      <c r="D41" s="2">
        <v>21781128</v>
      </c>
      <c r="E41" s="2">
        <f t="shared" si="1"/>
        <v>6.7</v>
      </c>
      <c r="F41" s="2">
        <v>6.7</v>
      </c>
    </row>
    <row r="42" spans="1:6" x14ac:dyDescent="0.3">
      <c r="A42" s="2" t="s">
        <v>50</v>
      </c>
      <c r="B42" s="2" t="s">
        <v>55</v>
      </c>
      <c r="C42" s="2">
        <v>113</v>
      </c>
      <c r="D42" s="2">
        <v>1782959</v>
      </c>
      <c r="E42" s="2">
        <f t="shared" si="1"/>
        <v>6.3</v>
      </c>
      <c r="F42" s="2">
        <v>6.3</v>
      </c>
    </row>
    <row r="43" spans="1:6" x14ac:dyDescent="0.3">
      <c r="A43" s="2" t="s">
        <v>18</v>
      </c>
      <c r="B43" s="2" t="s">
        <v>55</v>
      </c>
      <c r="C43" s="2">
        <v>180</v>
      </c>
      <c r="D43" s="2">
        <v>2934582</v>
      </c>
      <c r="E43" s="2">
        <f t="shared" si="1"/>
        <v>6.1</v>
      </c>
      <c r="F43" s="2">
        <v>6.1</v>
      </c>
    </row>
    <row r="44" spans="1:6" x14ac:dyDescent="0.3">
      <c r="A44" s="2" t="s">
        <v>43</v>
      </c>
      <c r="B44" s="2" t="s">
        <v>55</v>
      </c>
      <c r="C44" s="2">
        <v>45</v>
      </c>
      <c r="D44" s="2">
        <v>895376</v>
      </c>
      <c r="E44" s="2">
        <f t="shared" si="1"/>
        <v>5</v>
      </c>
      <c r="F44" s="2">
        <v>5</v>
      </c>
    </row>
    <row r="45" spans="1:6" x14ac:dyDescent="0.3">
      <c r="A45" s="2" t="s">
        <v>28</v>
      </c>
      <c r="B45" s="2" t="s">
        <v>55</v>
      </c>
      <c r="C45" s="2">
        <v>45</v>
      </c>
      <c r="D45" s="2">
        <v>1104271</v>
      </c>
      <c r="E45" s="2">
        <f t="shared" si="1"/>
        <v>4.0999999999999996</v>
      </c>
      <c r="F45" s="2">
        <v>4.0999999999999996</v>
      </c>
    </row>
    <row r="46" spans="1:6" x14ac:dyDescent="0.3">
      <c r="A46" s="2" t="s">
        <v>29</v>
      </c>
      <c r="B46" s="2" t="s">
        <v>55</v>
      </c>
      <c r="C46" s="2">
        <v>69</v>
      </c>
      <c r="D46" s="2">
        <v>1963692</v>
      </c>
      <c r="E46" s="2">
        <f t="shared" si="1"/>
        <v>3.5</v>
      </c>
      <c r="F46" s="2">
        <v>3.5</v>
      </c>
    </row>
    <row r="47" spans="1:6" x14ac:dyDescent="0.3">
      <c r="A47" s="2" t="s">
        <v>36</v>
      </c>
      <c r="B47" s="2" t="s">
        <v>55</v>
      </c>
      <c r="C47" s="2">
        <v>24</v>
      </c>
      <c r="D47" s="2">
        <v>774948</v>
      </c>
      <c r="E47" s="2">
        <f t="shared" si="1"/>
        <v>3.1</v>
      </c>
      <c r="F47" s="2">
        <v>3.1</v>
      </c>
    </row>
    <row r="48" spans="1:6" x14ac:dyDescent="0.3">
      <c r="A48" s="2" t="s">
        <v>17</v>
      </c>
      <c r="B48" s="2" t="s">
        <v>55</v>
      </c>
      <c r="C48" s="2">
        <v>94</v>
      </c>
      <c r="D48" s="2">
        <v>3193079</v>
      </c>
      <c r="E48" s="2">
        <f t="shared" si="1"/>
        <v>2.9</v>
      </c>
      <c r="F48" s="2">
        <v>2.9</v>
      </c>
    </row>
    <row r="49" spans="1:7" x14ac:dyDescent="0.3">
      <c r="A49" s="2" t="s">
        <v>52</v>
      </c>
      <c r="B49" s="2" t="s">
        <v>55</v>
      </c>
      <c r="C49" s="2">
        <v>16</v>
      </c>
      <c r="D49" s="2">
        <v>578803</v>
      </c>
      <c r="E49" s="3">
        <f t="shared" si="1"/>
        <v>2.7643256859415035</v>
      </c>
      <c r="F49" s="3">
        <f>(C49/D49)*100000</f>
        <v>2.7643256859415035</v>
      </c>
    </row>
    <row r="50" spans="1:7" x14ac:dyDescent="0.3">
      <c r="A50" s="2" t="s">
        <v>46</v>
      </c>
      <c r="B50" s="2" t="s">
        <v>55</v>
      </c>
      <c r="C50" s="2">
        <v>91</v>
      </c>
      <c r="D50" s="2">
        <v>3337975</v>
      </c>
      <c r="E50" s="2">
        <f t="shared" si="1"/>
        <v>2.7</v>
      </c>
      <c r="F50" s="2">
        <v>2.7</v>
      </c>
    </row>
    <row r="51" spans="1:7" x14ac:dyDescent="0.3">
      <c r="A51" s="2" t="s">
        <v>14</v>
      </c>
      <c r="B51" s="2" t="s">
        <v>55</v>
      </c>
      <c r="C51" s="2">
        <v>40</v>
      </c>
      <c r="D51" s="2">
        <v>1900923</v>
      </c>
      <c r="E51" s="2">
        <f t="shared" si="1"/>
        <v>2.1</v>
      </c>
      <c r="F51" s="2">
        <v>2.1</v>
      </c>
    </row>
    <row r="53" spans="1:7" x14ac:dyDescent="0.3">
      <c r="B53" s="2" t="s">
        <v>133</v>
      </c>
      <c r="C53" s="2">
        <f>SUM(C2:C26)</f>
        <v>12773</v>
      </c>
      <c r="D53" s="2">
        <f>SUM(D2:D26)</f>
        <v>189108258</v>
      </c>
      <c r="E53" s="2" t="s">
        <v>130</v>
      </c>
      <c r="F53" s="5">
        <f>((SUM(C27:C51))/(SUM(D27:D51)))*100000</f>
        <v>8.9863566334458085</v>
      </c>
      <c r="G53" s="5">
        <f>(SUM(C2:C26)/SUM(D2:D26))*100000</f>
        <v>6.7543322195903261</v>
      </c>
    </row>
    <row r="54" spans="1:7" x14ac:dyDescent="0.3">
      <c r="D54" s="34">
        <f>(D53*(9/100000)-(D53*(6.75/100000)))</f>
        <v>4254.935805000001</v>
      </c>
    </row>
    <row r="55" spans="1:7" x14ac:dyDescent="0.3">
      <c r="E55" s="2" t="s">
        <v>131</v>
      </c>
      <c r="G55" s="6">
        <f>(F53-G53)/G53</f>
        <v>0.33045819205956417</v>
      </c>
    </row>
  </sheetData>
  <autoFilter ref="A1:G1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FC3E-4B9F-410A-BA94-3EBAE7075F47}">
  <dimension ref="A1:O61"/>
  <sheetViews>
    <sheetView topLeftCell="A29" workbookViewId="0">
      <pane xSplit="1" topLeftCell="B1" activePane="topRight" state="frozen"/>
      <selection pane="topRight" activeCell="E65" sqref="E65"/>
    </sheetView>
  </sheetViews>
  <sheetFormatPr defaultRowHeight="14" x14ac:dyDescent="0.3"/>
  <cols>
    <col min="1" max="1" width="8.7265625" style="2"/>
    <col min="2" max="2" width="9.36328125" style="2" customWidth="1"/>
    <col min="3" max="3" width="12.453125" style="2" customWidth="1"/>
    <col min="4" max="4" width="11.7265625" style="2" customWidth="1"/>
    <col min="5" max="5" width="12.453125" style="2" customWidth="1"/>
    <col min="6" max="6" width="10.90625" style="2" customWidth="1"/>
    <col min="7" max="7" width="10.7265625" style="2" customWidth="1"/>
    <col min="8" max="9" width="8.7265625" style="2"/>
    <col min="10" max="10" width="9.90625" style="2" customWidth="1"/>
    <col min="11" max="14" width="8.7265625" style="2"/>
    <col min="15" max="15" width="18.1796875" style="2" customWidth="1"/>
    <col min="16" max="16384" width="8.7265625" style="2"/>
  </cols>
  <sheetData>
    <row r="1" spans="1:15" ht="33" customHeight="1" x14ac:dyDescent="0.35">
      <c r="A1" s="1" t="s">
        <v>0</v>
      </c>
      <c r="B1" s="1" t="s">
        <v>54</v>
      </c>
      <c r="C1" s="1" t="s">
        <v>123</v>
      </c>
      <c r="D1" s="1" t="s">
        <v>2</v>
      </c>
      <c r="E1" s="1" t="s">
        <v>124</v>
      </c>
      <c r="F1" s="1" t="s">
        <v>110</v>
      </c>
      <c r="G1" s="1" t="s">
        <v>112</v>
      </c>
      <c r="I1" s="1" t="s">
        <v>116</v>
      </c>
      <c r="J1" s="1"/>
      <c r="N1" s="15" t="s">
        <v>0</v>
      </c>
      <c r="O1" s="14" t="s">
        <v>127</v>
      </c>
    </row>
    <row r="2" spans="1:15" ht="14.5" x14ac:dyDescent="0.35">
      <c r="A2" s="2" t="s">
        <v>59</v>
      </c>
      <c r="B2" s="2" t="s">
        <v>55</v>
      </c>
      <c r="C2" s="2">
        <v>551</v>
      </c>
      <c r="D2" s="2">
        <v>2949965</v>
      </c>
      <c r="E2" s="5">
        <f t="shared" ref="E2:E33" si="0">(C2/D2)*100000</f>
        <v>18.678187707311782</v>
      </c>
      <c r="F2" s="2">
        <v>22.2</v>
      </c>
      <c r="G2" s="6">
        <f t="shared" ref="G2:G33" si="1">(E2-F2)/F2</f>
        <v>-0.15864019336433413</v>
      </c>
      <c r="I2" s="2">
        <f>C2-164</f>
        <v>387</v>
      </c>
      <c r="J2" s="2">
        <f>D2-222679</f>
        <v>2727286</v>
      </c>
      <c r="K2" s="5">
        <f>(I2/J2)*100000</f>
        <v>14.189930942336082</v>
      </c>
      <c r="N2" s="27" t="s">
        <v>59</v>
      </c>
      <c r="O2" s="29">
        <v>18.678187707311782</v>
      </c>
    </row>
    <row r="3" spans="1:15" ht="14.5" x14ac:dyDescent="0.35">
      <c r="A3" s="2" t="s">
        <v>60</v>
      </c>
      <c r="B3" s="2" t="s">
        <v>55</v>
      </c>
      <c r="C3" s="2">
        <v>847</v>
      </c>
      <c r="D3" s="2">
        <v>4624047</v>
      </c>
      <c r="E3" s="5">
        <f t="shared" si="0"/>
        <v>18.317287864937359</v>
      </c>
      <c r="F3" s="2">
        <v>20.3</v>
      </c>
      <c r="G3" s="6">
        <f t="shared" si="1"/>
        <v>-9.7670548525253267E-2</v>
      </c>
      <c r="I3" s="2">
        <f>C3-276</f>
        <v>571</v>
      </c>
      <c r="J3" s="2">
        <f>D3-376971</f>
        <v>4247076</v>
      </c>
      <c r="K3" s="5">
        <f>(I3/J3)*100000</f>
        <v>13.444543963894219</v>
      </c>
      <c r="N3" s="27" t="s">
        <v>60</v>
      </c>
      <c r="O3" s="29">
        <v>18.317287864937359</v>
      </c>
    </row>
    <row r="4" spans="1:15" ht="14.5" x14ac:dyDescent="0.35">
      <c r="A4" s="2" t="s">
        <v>61</v>
      </c>
      <c r="B4" s="2" t="s">
        <v>55</v>
      </c>
      <c r="C4" s="2">
        <v>702</v>
      </c>
      <c r="D4" s="2">
        <v>5039877</v>
      </c>
      <c r="E4" s="5">
        <f t="shared" si="0"/>
        <v>13.92891136033677</v>
      </c>
      <c r="F4" s="2">
        <v>14.8</v>
      </c>
      <c r="G4" s="6">
        <f t="shared" si="1"/>
        <v>-5.8857340517785885E-2</v>
      </c>
      <c r="I4" s="2">
        <f>C4-37</f>
        <v>665</v>
      </c>
      <c r="J4" s="2">
        <f>D4-395211</f>
        <v>4644666</v>
      </c>
      <c r="K4" s="5">
        <f>(I4/J4)*100000</f>
        <v>14.317498825534495</v>
      </c>
      <c r="N4" s="27" t="s">
        <v>61</v>
      </c>
      <c r="O4" s="29">
        <v>13.92891136033677</v>
      </c>
    </row>
    <row r="5" spans="1:15" ht="14.5" x14ac:dyDescent="0.35">
      <c r="A5" s="2" t="s">
        <v>62</v>
      </c>
      <c r="B5" s="2" t="s">
        <v>56</v>
      </c>
      <c r="C5" s="2">
        <v>289</v>
      </c>
      <c r="D5" s="2">
        <v>2115877</v>
      </c>
      <c r="E5" s="5">
        <f t="shared" si="0"/>
        <v>13.65863894734902</v>
      </c>
      <c r="F5" s="2">
        <v>14.4</v>
      </c>
      <c r="G5" s="6">
        <f t="shared" si="1"/>
        <v>-5.1483406434095831E-2</v>
      </c>
      <c r="N5" s="28" t="s">
        <v>62</v>
      </c>
      <c r="O5" s="30">
        <v>13.65863894734902</v>
      </c>
    </row>
    <row r="6" spans="1:15" ht="14.5" x14ac:dyDescent="0.35">
      <c r="A6" s="2" t="s">
        <v>65</v>
      </c>
      <c r="B6" s="2" t="s">
        <v>55</v>
      </c>
      <c r="C6" s="2">
        <v>742</v>
      </c>
      <c r="D6" s="2">
        <v>6168187</v>
      </c>
      <c r="E6" s="5">
        <f t="shared" si="0"/>
        <v>12.029466681214432</v>
      </c>
      <c r="F6" s="2">
        <v>11.5</v>
      </c>
      <c r="G6" s="6">
        <f t="shared" si="1"/>
        <v>4.6040580975167979E-2</v>
      </c>
      <c r="I6" s="2">
        <f>C6-202</f>
        <v>540</v>
      </c>
      <c r="J6" s="2">
        <f>D6-716862</f>
        <v>5451325</v>
      </c>
      <c r="K6" s="5">
        <f>(I6/J6)*100000</f>
        <v>9.9058485780979861</v>
      </c>
      <c r="N6" s="27" t="s">
        <v>65</v>
      </c>
      <c r="O6" s="29">
        <v>12.029466681214432</v>
      </c>
    </row>
    <row r="7" spans="1:15" ht="14.5" x14ac:dyDescent="0.35">
      <c r="A7" s="2" t="s">
        <v>68</v>
      </c>
      <c r="B7" s="2" t="s">
        <v>56</v>
      </c>
      <c r="C7" s="2">
        <v>1222</v>
      </c>
      <c r="D7" s="2">
        <v>10799566</v>
      </c>
      <c r="E7" s="5">
        <f t="shared" si="0"/>
        <v>11.315269521015937</v>
      </c>
      <c r="F7" s="2">
        <v>11.1</v>
      </c>
      <c r="G7" s="6">
        <f t="shared" si="1"/>
        <v>1.9393650541976327E-2</v>
      </c>
      <c r="N7" s="28" t="s">
        <v>68</v>
      </c>
      <c r="O7" s="30">
        <v>11.315269521015937</v>
      </c>
    </row>
    <row r="8" spans="1:15" ht="14.5" x14ac:dyDescent="0.35">
      <c r="A8" s="2" t="s">
        <v>63</v>
      </c>
      <c r="B8" s="2" t="s">
        <v>55</v>
      </c>
      <c r="C8" s="2">
        <v>578</v>
      </c>
      <c r="D8" s="2">
        <v>5190705</v>
      </c>
      <c r="E8" s="5">
        <f t="shared" si="0"/>
        <v>11.135288944372681</v>
      </c>
      <c r="F8" s="2">
        <v>12.5</v>
      </c>
      <c r="G8" s="6">
        <f t="shared" si="1"/>
        <v>-0.10917688445018556</v>
      </c>
      <c r="I8" s="2">
        <f>C8-67</f>
        <v>511</v>
      </c>
      <c r="J8" s="2">
        <f>D8-413024</f>
        <v>4777681</v>
      </c>
      <c r="K8" s="5">
        <f>(I8/J8)*100000</f>
        <v>10.695565484593887</v>
      </c>
      <c r="N8" s="27" t="s">
        <v>63</v>
      </c>
      <c r="O8" s="29">
        <v>11.135288944372681</v>
      </c>
    </row>
    <row r="9" spans="1:15" ht="14.5" x14ac:dyDescent="0.35">
      <c r="A9" s="2" t="s">
        <v>66</v>
      </c>
      <c r="B9" s="2" t="s">
        <v>55</v>
      </c>
      <c r="C9" s="2">
        <v>760</v>
      </c>
      <c r="D9" s="2">
        <v>6975218</v>
      </c>
      <c r="E9" s="5">
        <f t="shared" si="0"/>
        <v>10.895716807704074</v>
      </c>
      <c r="F9" s="2">
        <v>11.5</v>
      </c>
      <c r="G9" s="6">
        <f t="shared" si="1"/>
        <v>-5.2546364547471788E-2</v>
      </c>
      <c r="I9" s="2">
        <f>C9-145</f>
        <v>615</v>
      </c>
      <c r="J9" s="2">
        <f>D9-703953</f>
        <v>6271265</v>
      </c>
      <c r="K9" s="5">
        <f>(I9/J9)*100000</f>
        <v>9.8066339087887364</v>
      </c>
      <c r="N9" s="27" t="s">
        <v>66</v>
      </c>
      <c r="O9" s="29">
        <v>10.895716807704074</v>
      </c>
    </row>
    <row r="10" spans="1:15" ht="14.5" x14ac:dyDescent="0.35">
      <c r="A10" s="2" t="s">
        <v>69</v>
      </c>
      <c r="B10" s="2" t="s">
        <v>55</v>
      </c>
      <c r="C10" s="2">
        <v>322</v>
      </c>
      <c r="D10" s="2">
        <v>3025891</v>
      </c>
      <c r="E10" s="5">
        <f t="shared" si="0"/>
        <v>10.641493695575948</v>
      </c>
      <c r="F10" s="2">
        <v>11</v>
      </c>
      <c r="G10" s="6">
        <f t="shared" si="1"/>
        <v>-3.2591482220368402E-2</v>
      </c>
      <c r="I10" s="2">
        <f>C10-121</f>
        <v>201</v>
      </c>
      <c r="J10" s="2">
        <f>D10-397821</f>
        <v>2628070</v>
      </c>
      <c r="K10" s="5">
        <f>(I10/J10)*100000</f>
        <v>7.6481981073563494</v>
      </c>
      <c r="N10" s="27" t="s">
        <v>69</v>
      </c>
      <c r="O10" s="29">
        <v>10.641493695575948</v>
      </c>
    </row>
    <row r="11" spans="1:15" ht="14.5" x14ac:dyDescent="0.35">
      <c r="A11" s="2" t="s">
        <v>108</v>
      </c>
      <c r="B11" s="2" t="s">
        <v>55</v>
      </c>
      <c r="C11" s="2">
        <v>74</v>
      </c>
      <c r="D11" s="2">
        <v>732673</v>
      </c>
      <c r="E11" s="5">
        <f t="shared" si="0"/>
        <v>10.10000368513648</v>
      </c>
      <c r="F11" s="2">
        <v>6.7</v>
      </c>
      <c r="G11" s="6">
        <f t="shared" si="1"/>
        <v>0.50746323658753434</v>
      </c>
      <c r="I11" s="2">
        <f>C11-29</f>
        <v>45</v>
      </c>
      <c r="J11" s="2">
        <f>D11-288121</f>
        <v>444552</v>
      </c>
      <c r="K11" s="5">
        <f>(I11/J11)*100000</f>
        <v>10.122550342817039</v>
      </c>
      <c r="N11" s="27" t="s">
        <v>108</v>
      </c>
      <c r="O11" s="29">
        <v>10.10000368513648</v>
      </c>
    </row>
    <row r="12" spans="1:15" x14ac:dyDescent="0.3">
      <c r="A12" s="2" t="s">
        <v>64</v>
      </c>
      <c r="B12" s="2" t="s">
        <v>56</v>
      </c>
      <c r="C12" s="2">
        <v>1258</v>
      </c>
      <c r="D12" s="2">
        <v>12671469</v>
      </c>
      <c r="E12" s="5">
        <f t="shared" si="0"/>
        <v>9.9278149991922788</v>
      </c>
      <c r="F12" s="2">
        <v>11.7</v>
      </c>
      <c r="G12" s="6">
        <f t="shared" si="1"/>
        <v>-0.15146880348783937</v>
      </c>
    </row>
    <row r="13" spans="1:15" x14ac:dyDescent="0.3">
      <c r="A13" s="2" t="s">
        <v>67</v>
      </c>
      <c r="B13" s="2" t="s">
        <v>56</v>
      </c>
      <c r="C13" s="2">
        <v>593</v>
      </c>
      <c r="D13" s="2">
        <v>6165129</v>
      </c>
      <c r="E13" s="5">
        <f t="shared" si="0"/>
        <v>9.6186146307725267</v>
      </c>
      <c r="F13" s="2">
        <v>11.4</v>
      </c>
      <c r="G13" s="6">
        <f t="shared" si="1"/>
        <v>-0.15626187449363804</v>
      </c>
    </row>
    <row r="14" spans="1:15" x14ac:dyDescent="0.3">
      <c r="A14" s="2" t="s">
        <v>71</v>
      </c>
      <c r="B14" s="2" t="s">
        <v>55</v>
      </c>
      <c r="C14" s="2">
        <v>924</v>
      </c>
      <c r="D14" s="2">
        <v>10551162</v>
      </c>
      <c r="E14" s="5">
        <f t="shared" si="0"/>
        <v>8.7573292875230244</v>
      </c>
      <c r="F14" s="2">
        <v>9.3000000000000007</v>
      </c>
      <c r="G14" s="6">
        <f t="shared" si="1"/>
        <v>-5.8351689513653361E-2</v>
      </c>
      <c r="I14" s="2">
        <f>C14-127</f>
        <v>797</v>
      </c>
      <c r="J14" s="2">
        <f>D14-1122276</f>
        <v>9428886</v>
      </c>
      <c r="K14" s="5">
        <f>(I14/J14)*100000</f>
        <v>8.4527482886101293</v>
      </c>
    </row>
    <row r="15" spans="1:15" x14ac:dyDescent="0.3">
      <c r="A15" s="2" t="s">
        <v>80</v>
      </c>
      <c r="B15" s="2" t="s">
        <v>56</v>
      </c>
      <c r="C15" s="2">
        <v>625</v>
      </c>
      <c r="D15" s="2">
        <v>7276316</v>
      </c>
      <c r="E15" s="5">
        <f t="shared" si="0"/>
        <v>8.5895115055475877</v>
      </c>
      <c r="F15" s="2">
        <v>7.6</v>
      </c>
      <c r="G15" s="6">
        <f t="shared" si="1"/>
        <v>0.13019888230889318</v>
      </c>
    </row>
    <row r="16" spans="1:15" x14ac:dyDescent="0.3">
      <c r="A16" s="2" t="s">
        <v>72</v>
      </c>
      <c r="B16" s="2" t="s">
        <v>55</v>
      </c>
      <c r="C16" s="2">
        <v>555</v>
      </c>
      <c r="D16" s="2">
        <v>6805985</v>
      </c>
      <c r="E16" s="5">
        <f t="shared" si="0"/>
        <v>8.1545874697049729</v>
      </c>
      <c r="F16" s="2">
        <v>9.1</v>
      </c>
      <c r="G16" s="6">
        <f t="shared" si="1"/>
        <v>-0.10389148684560734</v>
      </c>
      <c r="I16" s="2">
        <f>C16-235</f>
        <v>320</v>
      </c>
      <c r="J16" s="2">
        <f>D16-971102</f>
        <v>5834883</v>
      </c>
      <c r="K16" s="5">
        <f>(I16/J16)*100000</f>
        <v>5.4842573535750416</v>
      </c>
    </row>
    <row r="17" spans="1:11" x14ac:dyDescent="0.3">
      <c r="A17" s="2" t="s">
        <v>77</v>
      </c>
      <c r="B17" s="2" t="s">
        <v>56</v>
      </c>
      <c r="C17" s="2">
        <v>1054</v>
      </c>
      <c r="D17" s="2">
        <v>12964056</v>
      </c>
      <c r="E17" s="5">
        <f t="shared" si="0"/>
        <v>8.1301716067872594</v>
      </c>
      <c r="F17" s="2">
        <v>8.4</v>
      </c>
      <c r="G17" s="6">
        <f t="shared" si="1"/>
        <v>-3.2122427763421543E-2</v>
      </c>
    </row>
    <row r="18" spans="1:11" x14ac:dyDescent="0.3">
      <c r="A18" s="2" t="s">
        <v>75</v>
      </c>
      <c r="B18" s="2" t="s">
        <v>55</v>
      </c>
      <c r="C18" s="2">
        <v>319</v>
      </c>
      <c r="D18" s="2">
        <v>3986639</v>
      </c>
      <c r="E18" s="5">
        <f t="shared" si="0"/>
        <v>8.0017277711877099</v>
      </c>
      <c r="F18" s="2">
        <v>8.5</v>
      </c>
      <c r="G18" s="6">
        <f t="shared" si="1"/>
        <v>-5.8620262213210594E-2</v>
      </c>
      <c r="I18" s="2">
        <f>C18-86</f>
        <v>233</v>
      </c>
      <c r="J18" s="2">
        <f>D18-798575</f>
        <v>3188064</v>
      </c>
      <c r="K18" s="5">
        <f>(I18/J18)*100000</f>
        <v>7.3085107450791451</v>
      </c>
    </row>
    <row r="19" spans="1:11" x14ac:dyDescent="0.3">
      <c r="A19" s="2" t="s">
        <v>76</v>
      </c>
      <c r="B19" s="2" t="s">
        <v>56</v>
      </c>
      <c r="C19" s="2">
        <v>245</v>
      </c>
      <c r="D19" s="2">
        <v>3143991</v>
      </c>
      <c r="E19" s="5">
        <f t="shared" si="0"/>
        <v>7.7926431723246035</v>
      </c>
      <c r="F19" s="2">
        <v>8.4</v>
      </c>
      <c r="G19" s="6">
        <f t="shared" si="1"/>
        <v>-7.2304384247071057E-2</v>
      </c>
    </row>
    <row r="20" spans="1:11" x14ac:dyDescent="0.3">
      <c r="A20" s="2" t="s">
        <v>79</v>
      </c>
      <c r="B20" s="2" t="s">
        <v>55</v>
      </c>
      <c r="C20" s="2">
        <v>2277</v>
      </c>
      <c r="D20" s="2">
        <v>29527941</v>
      </c>
      <c r="E20" s="5">
        <f t="shared" si="0"/>
        <v>7.7113402522715688</v>
      </c>
      <c r="F20" s="2">
        <v>8</v>
      </c>
      <c r="G20" s="6">
        <f t="shared" si="1"/>
        <v>-3.6082468466053896E-2</v>
      </c>
      <c r="I20" s="2">
        <f>C20-659</f>
        <v>1618</v>
      </c>
      <c r="J20" s="2">
        <f>D20-4728030</f>
        <v>24799911</v>
      </c>
      <c r="K20" s="5">
        <f>(I20/J20)*100000</f>
        <v>6.524216961907646</v>
      </c>
    </row>
    <row r="21" spans="1:11" x14ac:dyDescent="0.3">
      <c r="A21" s="2" t="s">
        <v>74</v>
      </c>
      <c r="B21" s="2" t="s">
        <v>55</v>
      </c>
      <c r="C21" s="2">
        <v>905</v>
      </c>
      <c r="D21" s="2">
        <v>11780017</v>
      </c>
      <c r="E21" s="5">
        <f t="shared" si="0"/>
        <v>7.6825016466444822</v>
      </c>
      <c r="F21" s="2">
        <v>8.6</v>
      </c>
      <c r="G21" s="6">
        <f t="shared" si="1"/>
        <v>-0.10668585504133925</v>
      </c>
      <c r="I21" s="2">
        <f>C21-166</f>
        <v>739</v>
      </c>
      <c r="J21" s="2">
        <f>D21-1321414</f>
        <v>10458603</v>
      </c>
      <c r="K21" s="5">
        <f>(I21/J21)*100000</f>
        <v>7.0659532635477227</v>
      </c>
    </row>
    <row r="22" spans="1:11" x14ac:dyDescent="0.3">
      <c r="A22" s="2" t="s">
        <v>73</v>
      </c>
      <c r="B22" s="2" t="s">
        <v>55</v>
      </c>
      <c r="C22" s="2">
        <v>346</v>
      </c>
      <c r="D22" s="2">
        <v>4509394</v>
      </c>
      <c r="E22" s="5">
        <f t="shared" si="0"/>
        <v>7.6728713436883096</v>
      </c>
      <c r="F22" s="2">
        <v>9</v>
      </c>
      <c r="G22" s="6">
        <f t="shared" si="1"/>
        <v>-0.14745873959018782</v>
      </c>
      <c r="I22" s="2">
        <f>C22-174</f>
        <v>172</v>
      </c>
      <c r="J22" s="2">
        <f>D22-777874</f>
        <v>3731520</v>
      </c>
      <c r="K22" s="5">
        <f>(I22/J22)*100000</f>
        <v>4.6093816996827028</v>
      </c>
    </row>
    <row r="23" spans="1:11" x14ac:dyDescent="0.3">
      <c r="A23" s="2" t="s">
        <v>78</v>
      </c>
      <c r="B23" s="2" t="s">
        <v>56</v>
      </c>
      <c r="C23" s="2">
        <v>761</v>
      </c>
      <c r="D23" s="2">
        <v>10050811</v>
      </c>
      <c r="E23" s="5">
        <f t="shared" si="0"/>
        <v>7.5715283075166768</v>
      </c>
      <c r="F23" s="2">
        <v>8.1</v>
      </c>
      <c r="G23" s="6">
        <f t="shared" si="1"/>
        <v>-6.5243418825101582E-2</v>
      </c>
    </row>
    <row r="24" spans="1:11" x14ac:dyDescent="0.3">
      <c r="A24" s="2" t="s">
        <v>81</v>
      </c>
      <c r="B24" s="2" t="s">
        <v>56</v>
      </c>
      <c r="C24" s="2">
        <v>628</v>
      </c>
      <c r="D24" s="2">
        <v>8642274</v>
      </c>
      <c r="E24" s="5">
        <f t="shared" si="0"/>
        <v>7.2666059881924596</v>
      </c>
      <c r="F24" s="2">
        <v>6.9</v>
      </c>
      <c r="G24" s="6">
        <f t="shared" si="1"/>
        <v>5.3131302636588294E-2</v>
      </c>
    </row>
    <row r="25" spans="1:11" x14ac:dyDescent="0.3">
      <c r="A25" s="2" t="s">
        <v>85</v>
      </c>
      <c r="B25" s="2" t="s">
        <v>56</v>
      </c>
      <c r="C25" s="2">
        <v>412</v>
      </c>
      <c r="D25" s="2">
        <v>5812069</v>
      </c>
      <c r="E25" s="5">
        <f t="shared" si="0"/>
        <v>7.0886976737543899</v>
      </c>
      <c r="F25" s="2">
        <v>6.2</v>
      </c>
      <c r="G25" s="6">
        <f t="shared" si="1"/>
        <v>0.14333833447651445</v>
      </c>
    </row>
    <row r="26" spans="1:11" x14ac:dyDescent="0.3">
      <c r="A26" s="2" t="s">
        <v>82</v>
      </c>
      <c r="B26" s="2" t="s">
        <v>55</v>
      </c>
      <c r="C26" s="2">
        <v>1473</v>
      </c>
      <c r="D26" s="2">
        <v>21781128</v>
      </c>
      <c r="E26" s="5">
        <f t="shared" si="0"/>
        <v>6.7627351531105271</v>
      </c>
      <c r="F26" s="2">
        <v>6.7</v>
      </c>
      <c r="G26" s="6">
        <f t="shared" si="1"/>
        <v>9.3634556881383446E-3</v>
      </c>
      <c r="I26" s="2">
        <f>C26-158</f>
        <v>1315</v>
      </c>
      <c r="J26" s="2">
        <f>D26-999935</f>
        <v>20781193</v>
      </c>
      <c r="K26" s="5">
        <f>(I26/J26)*100000</f>
        <v>6.3278369052248342</v>
      </c>
    </row>
    <row r="27" spans="1:11" x14ac:dyDescent="0.3">
      <c r="A27" s="2" t="s">
        <v>84</v>
      </c>
      <c r="B27" s="2" t="s">
        <v>55</v>
      </c>
      <c r="C27" s="2">
        <v>112</v>
      </c>
      <c r="D27" s="2">
        <v>1782959</v>
      </c>
      <c r="E27" s="5">
        <f t="shared" si="0"/>
        <v>6.2816924001056673</v>
      </c>
      <c r="F27" s="2">
        <v>6.3</v>
      </c>
      <c r="G27" s="6">
        <f t="shared" si="1"/>
        <v>-2.9059682371956356E-3</v>
      </c>
      <c r="I27" s="2">
        <f>C27-22</f>
        <v>90</v>
      </c>
      <c r="J27" s="2">
        <f>D27-177952</f>
        <v>1605007</v>
      </c>
      <c r="K27" s="5">
        <f>(I27/J27)*100000</f>
        <v>5.6074521793362901</v>
      </c>
    </row>
    <row r="28" spans="1:11" x14ac:dyDescent="0.3">
      <c r="A28" s="2" t="s">
        <v>88</v>
      </c>
      <c r="B28" s="2" t="s">
        <v>55</v>
      </c>
      <c r="C28" s="2">
        <v>55</v>
      </c>
      <c r="D28" s="2">
        <v>895376</v>
      </c>
      <c r="E28" s="5">
        <f t="shared" si="0"/>
        <v>6.1426707885849074</v>
      </c>
      <c r="F28" s="2">
        <v>5</v>
      </c>
      <c r="G28" s="6">
        <f t="shared" si="1"/>
        <v>0.22853415771698149</v>
      </c>
      <c r="I28" s="2">
        <f>C28-13</f>
        <v>42</v>
      </c>
      <c r="J28" s="2">
        <f>D28-111806</f>
        <v>783570</v>
      </c>
      <c r="K28" s="5">
        <f>(I28/J28)*100000</f>
        <v>5.3600826984187755</v>
      </c>
    </row>
    <row r="29" spans="1:11" x14ac:dyDescent="0.3">
      <c r="A29" s="2" t="s">
        <v>86</v>
      </c>
      <c r="B29" s="2" t="s">
        <v>55</v>
      </c>
      <c r="C29" s="2">
        <v>174</v>
      </c>
      <c r="D29" s="2">
        <v>2934582</v>
      </c>
      <c r="E29" s="5">
        <f t="shared" si="0"/>
        <v>5.9292941890872362</v>
      </c>
      <c r="F29" s="2">
        <v>6.1</v>
      </c>
      <c r="G29" s="6">
        <f t="shared" si="1"/>
        <v>-2.7984559166026803E-2</v>
      </c>
      <c r="I29" s="2">
        <f>C29-34</f>
        <v>140</v>
      </c>
      <c r="J29" s="2">
        <f>D29-523828</f>
        <v>2410754</v>
      </c>
      <c r="K29" s="5">
        <f>(I29/J29)*100000</f>
        <v>5.8073117373236762</v>
      </c>
    </row>
    <row r="30" spans="1:11" x14ac:dyDescent="0.3">
      <c r="A30" s="2" t="s">
        <v>70</v>
      </c>
      <c r="B30" s="2" t="s">
        <v>56</v>
      </c>
      <c r="C30" s="2">
        <v>58</v>
      </c>
      <c r="D30" s="2">
        <v>1003384</v>
      </c>
      <c r="E30" s="5">
        <f t="shared" si="0"/>
        <v>5.7804389944428056</v>
      </c>
      <c r="F30" s="2">
        <v>10.199999999999999</v>
      </c>
      <c r="G30" s="6">
        <f t="shared" si="1"/>
        <v>-0.43329029466246999</v>
      </c>
    </row>
    <row r="31" spans="1:11" x14ac:dyDescent="0.3">
      <c r="A31" s="2" t="s">
        <v>83</v>
      </c>
      <c r="B31" s="2" t="s">
        <v>56</v>
      </c>
      <c r="C31" s="2">
        <v>2227</v>
      </c>
      <c r="D31" s="2">
        <v>39237836</v>
      </c>
      <c r="E31" s="5">
        <f t="shared" si="0"/>
        <v>5.6756442939411853</v>
      </c>
      <c r="F31" s="2">
        <v>6.3</v>
      </c>
      <c r="G31" s="6">
        <f t="shared" si="1"/>
        <v>-9.9104080326795962E-2</v>
      </c>
    </row>
    <row r="32" spans="1:11" x14ac:dyDescent="0.3">
      <c r="A32" s="2" t="s">
        <v>87</v>
      </c>
      <c r="B32" s="2" t="s">
        <v>56</v>
      </c>
      <c r="C32" s="2">
        <v>328</v>
      </c>
      <c r="D32" s="2">
        <v>5895908</v>
      </c>
      <c r="E32" s="5">
        <f t="shared" si="0"/>
        <v>5.5631804295453726</v>
      </c>
      <c r="F32" s="2">
        <v>5.8</v>
      </c>
      <c r="G32" s="6">
        <f t="shared" si="1"/>
        <v>-4.083096042321159E-2</v>
      </c>
    </row>
    <row r="33" spans="1:11" x14ac:dyDescent="0.3">
      <c r="A33" s="2" t="s">
        <v>93</v>
      </c>
      <c r="B33" s="2" t="s">
        <v>56</v>
      </c>
      <c r="C33" s="2">
        <v>412</v>
      </c>
      <c r="D33" s="2">
        <v>7738692</v>
      </c>
      <c r="E33" s="5">
        <f t="shared" si="0"/>
        <v>5.3238971133623094</v>
      </c>
      <c r="F33" s="2">
        <v>4.4000000000000004</v>
      </c>
      <c r="G33" s="6">
        <f t="shared" si="1"/>
        <v>0.20997661667325204</v>
      </c>
    </row>
    <row r="34" spans="1:11" x14ac:dyDescent="0.3">
      <c r="A34" s="2" t="s">
        <v>94</v>
      </c>
      <c r="B34" s="2" t="s">
        <v>55</v>
      </c>
      <c r="C34" s="2">
        <v>58</v>
      </c>
      <c r="D34" s="2">
        <v>1104271</v>
      </c>
      <c r="E34" s="5">
        <f t="shared" ref="E34:E51" si="2">(C34/D34)*100000</f>
        <v>5.2523338926767069</v>
      </c>
      <c r="F34" s="2">
        <v>4.0999999999999996</v>
      </c>
      <c r="G34" s="6">
        <f t="shared" ref="G34:G51" si="3">(E34-F34)/F34</f>
        <v>0.28105704699431888</v>
      </c>
      <c r="I34" s="2">
        <f>C34-18</f>
        <v>40</v>
      </c>
      <c r="J34" s="2">
        <f>D34-167146</f>
        <v>937125</v>
      </c>
      <c r="K34" s="5">
        <f>(I34/J34)*100000</f>
        <v>4.2683740162731763</v>
      </c>
    </row>
    <row r="35" spans="1:11" x14ac:dyDescent="0.3">
      <c r="A35" s="2" t="s">
        <v>89</v>
      </c>
      <c r="B35" s="2" t="s">
        <v>56</v>
      </c>
      <c r="C35" s="2">
        <v>217</v>
      </c>
      <c r="D35" s="2">
        <v>4246155</v>
      </c>
      <c r="E35" s="5">
        <f t="shared" si="2"/>
        <v>5.1105058576523943</v>
      </c>
      <c r="F35" s="2">
        <v>4.7</v>
      </c>
      <c r="G35" s="6">
        <f t="shared" si="3"/>
        <v>8.7341671840934915E-2</v>
      </c>
    </row>
    <row r="36" spans="1:11" x14ac:dyDescent="0.3">
      <c r="A36" s="2" t="s">
        <v>90</v>
      </c>
      <c r="B36" s="2" t="s">
        <v>56</v>
      </c>
      <c r="C36" s="2">
        <v>820</v>
      </c>
      <c r="D36" s="2">
        <v>19835913</v>
      </c>
      <c r="E36" s="5">
        <f t="shared" si="2"/>
        <v>4.1339160945099929</v>
      </c>
      <c r="F36" s="2">
        <v>4.5</v>
      </c>
      <c r="G36" s="6">
        <f t="shared" si="3"/>
        <v>-8.1351978997779364E-2</v>
      </c>
    </row>
    <row r="37" spans="1:11" x14ac:dyDescent="0.3">
      <c r="A37" s="2" t="s">
        <v>91</v>
      </c>
      <c r="B37" s="2" t="s">
        <v>56</v>
      </c>
      <c r="C37" s="2">
        <v>146</v>
      </c>
      <c r="D37" s="2">
        <v>3605597</v>
      </c>
      <c r="E37" s="5">
        <f t="shared" si="2"/>
        <v>4.049260080924185</v>
      </c>
      <c r="F37" s="2">
        <v>4.4000000000000004</v>
      </c>
      <c r="G37" s="6">
        <f t="shared" si="3"/>
        <v>-7.9713617971776216E-2</v>
      </c>
    </row>
    <row r="38" spans="1:11" x14ac:dyDescent="0.3">
      <c r="A38" s="2" t="s">
        <v>106</v>
      </c>
      <c r="B38" s="2" t="s">
        <v>56</v>
      </c>
      <c r="C38" s="2">
        <v>24</v>
      </c>
      <c r="D38" s="2">
        <v>645570</v>
      </c>
      <c r="E38" s="5">
        <f t="shared" si="2"/>
        <v>3.7176448719736048</v>
      </c>
      <c r="F38" s="3">
        <v>1.3941168269901019</v>
      </c>
      <c r="G38" s="6">
        <f t="shared" si="3"/>
        <v>1.6666666666666663</v>
      </c>
    </row>
    <row r="39" spans="1:11" x14ac:dyDescent="0.3">
      <c r="A39" s="2" t="s">
        <v>98</v>
      </c>
      <c r="B39" s="2" t="s">
        <v>55</v>
      </c>
      <c r="C39" s="2">
        <v>28</v>
      </c>
      <c r="D39" s="2">
        <v>774948</v>
      </c>
      <c r="E39" s="5">
        <f t="shared" si="2"/>
        <v>3.6131456562246758</v>
      </c>
      <c r="F39" s="2">
        <v>3.1</v>
      </c>
      <c r="G39" s="6">
        <f t="shared" si="3"/>
        <v>0.16553085684666957</v>
      </c>
      <c r="I39" s="2">
        <v>28</v>
      </c>
      <c r="J39" s="2">
        <v>774948</v>
      </c>
      <c r="K39" s="5">
        <f>(I39/J39)*100000</f>
        <v>3.6131456562246758</v>
      </c>
    </row>
    <row r="40" spans="1:11" x14ac:dyDescent="0.3">
      <c r="A40" s="2" t="s">
        <v>95</v>
      </c>
      <c r="B40" s="2" t="s">
        <v>56</v>
      </c>
      <c r="C40" s="2">
        <v>203</v>
      </c>
      <c r="D40" s="2">
        <v>5707390</v>
      </c>
      <c r="E40" s="5">
        <f t="shared" si="2"/>
        <v>3.5567921589377978</v>
      </c>
      <c r="F40" s="2">
        <v>4</v>
      </c>
      <c r="G40" s="6">
        <f t="shared" si="3"/>
        <v>-0.11080196026555056</v>
      </c>
    </row>
    <row r="41" spans="1:11" x14ac:dyDescent="0.3">
      <c r="A41" s="2" t="s">
        <v>97</v>
      </c>
      <c r="B41" s="2" t="s">
        <v>55</v>
      </c>
      <c r="C41" s="2">
        <v>67</v>
      </c>
      <c r="D41" s="2">
        <v>1963692</v>
      </c>
      <c r="E41" s="5">
        <f t="shared" si="2"/>
        <v>3.4119403653933511</v>
      </c>
      <c r="F41" s="2">
        <v>3.5</v>
      </c>
      <c r="G41" s="6">
        <f t="shared" si="3"/>
        <v>-2.5159895601899684E-2</v>
      </c>
      <c r="I41" s="2">
        <f>C41-37</f>
        <v>30</v>
      </c>
      <c r="J41" s="2">
        <f>D41-585008</f>
        <v>1378684</v>
      </c>
      <c r="K41" s="5">
        <f>(I41/J41)*100000</f>
        <v>2.1759881162035679</v>
      </c>
    </row>
    <row r="42" spans="1:11" x14ac:dyDescent="0.3">
      <c r="A42" s="2" t="s">
        <v>92</v>
      </c>
      <c r="B42" s="2" t="s">
        <v>56</v>
      </c>
      <c r="C42" s="2">
        <v>306</v>
      </c>
      <c r="D42" s="2">
        <v>9267130</v>
      </c>
      <c r="E42" s="5">
        <f t="shared" si="2"/>
        <v>3.3019931737226087</v>
      </c>
      <c r="F42" s="2">
        <v>4.4000000000000004</v>
      </c>
      <c r="G42" s="6">
        <f t="shared" si="3"/>
        <v>-0.24954700597213444</v>
      </c>
    </row>
    <row r="43" spans="1:11" x14ac:dyDescent="0.3">
      <c r="A43" s="2" t="s">
        <v>99</v>
      </c>
      <c r="B43" s="2" t="s">
        <v>55</v>
      </c>
      <c r="C43" s="2">
        <v>90</v>
      </c>
      <c r="D43" s="2">
        <v>3193079</v>
      </c>
      <c r="E43" s="5">
        <f t="shared" si="2"/>
        <v>2.8185960948664284</v>
      </c>
      <c r="F43" s="2">
        <v>2.9</v>
      </c>
      <c r="G43" s="6">
        <f t="shared" si="3"/>
        <v>-2.807031211502467E-2</v>
      </c>
      <c r="I43" s="2">
        <f>C43-21</f>
        <v>69</v>
      </c>
      <c r="J43" s="2">
        <f>D43-228939</f>
        <v>2964140</v>
      </c>
      <c r="K43" s="5">
        <f>(I43/J43)*100000</f>
        <v>2.3278252714109318</v>
      </c>
    </row>
    <row r="44" spans="1:11" x14ac:dyDescent="0.3">
      <c r="A44" s="2" t="s">
        <v>101</v>
      </c>
      <c r="B44" s="2" t="s">
        <v>56</v>
      </c>
      <c r="C44" s="2">
        <v>39</v>
      </c>
      <c r="D44" s="2">
        <v>1441553</v>
      </c>
      <c r="E44" s="5">
        <f t="shared" si="2"/>
        <v>2.7054156177400346</v>
      </c>
      <c r="F44" s="2">
        <v>2.7</v>
      </c>
      <c r="G44" s="6">
        <f t="shared" si="3"/>
        <v>2.0057843481608912E-3</v>
      </c>
    </row>
    <row r="45" spans="1:11" x14ac:dyDescent="0.3">
      <c r="A45" s="2" t="s">
        <v>100</v>
      </c>
      <c r="B45" s="2" t="s">
        <v>55</v>
      </c>
      <c r="C45" s="2">
        <v>15</v>
      </c>
      <c r="D45" s="2">
        <v>578803</v>
      </c>
      <c r="E45" s="5">
        <f t="shared" si="2"/>
        <v>2.5915553305701593</v>
      </c>
      <c r="F45" s="3">
        <v>2.8</v>
      </c>
      <c r="G45" s="6">
        <f t="shared" si="3"/>
        <v>-7.4444524796371619E-2</v>
      </c>
      <c r="I45" s="2">
        <v>15</v>
      </c>
      <c r="J45" s="2">
        <v>578803</v>
      </c>
      <c r="K45" s="5">
        <f>(I45/J45)*100000</f>
        <v>2.5915553305701593</v>
      </c>
    </row>
    <row r="46" spans="1:11" x14ac:dyDescent="0.3">
      <c r="A46" s="2" t="s">
        <v>104</v>
      </c>
      <c r="B46" s="2" t="s">
        <v>55</v>
      </c>
      <c r="C46" s="2">
        <v>48</v>
      </c>
      <c r="D46" s="2">
        <v>1900923</v>
      </c>
      <c r="E46" s="5">
        <f t="shared" si="2"/>
        <v>2.5250891277553063</v>
      </c>
      <c r="F46" s="2">
        <v>2.1</v>
      </c>
      <c r="G46" s="6">
        <f t="shared" si="3"/>
        <v>0.20242339416919342</v>
      </c>
      <c r="I46" s="2">
        <v>48</v>
      </c>
      <c r="J46" s="2">
        <v>1900923</v>
      </c>
      <c r="K46" s="5">
        <f>(I46/J46)*100000</f>
        <v>2.5250891277553063</v>
      </c>
    </row>
    <row r="47" spans="1:11" x14ac:dyDescent="0.3">
      <c r="A47" s="2" t="s">
        <v>105</v>
      </c>
      <c r="B47" s="2" t="s">
        <v>56</v>
      </c>
      <c r="C47" s="2">
        <v>32</v>
      </c>
      <c r="D47" s="2">
        <v>1372247</v>
      </c>
      <c r="E47" s="5">
        <f t="shared" si="2"/>
        <v>2.3319416985426091</v>
      </c>
      <c r="F47" s="2">
        <v>1.5</v>
      </c>
      <c r="G47" s="6">
        <f t="shared" si="3"/>
        <v>0.55462779902840609</v>
      </c>
    </row>
    <row r="48" spans="1:11" x14ac:dyDescent="0.3">
      <c r="A48" s="2" t="s">
        <v>96</v>
      </c>
      <c r="B48" s="2" t="s">
        <v>56</v>
      </c>
      <c r="C48" s="2">
        <v>25</v>
      </c>
      <c r="D48" s="2">
        <v>1095610</v>
      </c>
      <c r="E48" s="5">
        <f t="shared" si="2"/>
        <v>2.2818338642400122</v>
      </c>
      <c r="F48" s="2">
        <v>3.6</v>
      </c>
      <c r="G48" s="6">
        <f t="shared" si="3"/>
        <v>-0.36615725993332998</v>
      </c>
    </row>
    <row r="49" spans="1:11" x14ac:dyDescent="0.3">
      <c r="A49" s="2" t="s">
        <v>102</v>
      </c>
      <c r="B49" s="2" t="s">
        <v>55</v>
      </c>
      <c r="C49" s="2">
        <v>76</v>
      </c>
      <c r="D49" s="2">
        <v>3337975</v>
      </c>
      <c r="E49" s="5">
        <f t="shared" si="2"/>
        <v>2.2768295149005011</v>
      </c>
      <c r="F49" s="2">
        <v>2.7</v>
      </c>
      <c r="G49" s="6">
        <f t="shared" si="3"/>
        <v>-0.15672980929611074</v>
      </c>
      <c r="I49" s="2">
        <f>C49-47</f>
        <v>29</v>
      </c>
      <c r="J49" s="2">
        <f>D49-1186421</f>
        <v>2151554</v>
      </c>
      <c r="K49" s="5">
        <f>(I49/J49)*100000</f>
        <v>1.3478629864739624</v>
      </c>
    </row>
    <row r="50" spans="1:11" x14ac:dyDescent="0.3">
      <c r="A50" s="2" t="s">
        <v>103</v>
      </c>
      <c r="B50" s="2" t="s">
        <v>56</v>
      </c>
      <c r="C50" s="2">
        <v>154</v>
      </c>
      <c r="D50" s="2">
        <v>6984723</v>
      </c>
      <c r="E50" s="5">
        <f t="shared" si="2"/>
        <v>2.2048118443637637</v>
      </c>
      <c r="F50" s="2">
        <v>2.2000000000000002</v>
      </c>
      <c r="G50" s="6">
        <f t="shared" si="3"/>
        <v>2.1872019835288514E-3</v>
      </c>
    </row>
    <row r="51" spans="1:11" x14ac:dyDescent="0.3">
      <c r="A51" s="2" t="s">
        <v>107</v>
      </c>
      <c r="B51" s="2" t="s">
        <v>56</v>
      </c>
      <c r="C51" s="2">
        <v>25</v>
      </c>
      <c r="D51" s="2">
        <v>1388992</v>
      </c>
      <c r="E51" s="5">
        <f t="shared" si="2"/>
        <v>1.7998663779201032</v>
      </c>
      <c r="F51" s="3">
        <v>1.0079251716352577</v>
      </c>
      <c r="G51" s="6">
        <f t="shared" si="3"/>
        <v>0.78571428571428581</v>
      </c>
    </row>
    <row r="53" spans="1:11" x14ac:dyDescent="0.3">
      <c r="A53" s="2" t="s">
        <v>133</v>
      </c>
      <c r="C53" s="2">
        <f>SUM(C2:C51)</f>
        <v>24201</v>
      </c>
      <c r="D53" s="2">
        <f>SUM(D2:D51)</f>
        <v>331223695</v>
      </c>
      <c r="I53" s="2">
        <f>SUM(I2:I49)</f>
        <v>9260</v>
      </c>
      <c r="J53" s="2">
        <f>SUM(J2:J49)</f>
        <v>124900489</v>
      </c>
      <c r="K53" s="5">
        <f>(I53/J53)*100000</f>
        <v>7.4139021185097205</v>
      </c>
    </row>
    <row r="54" spans="1:11" x14ac:dyDescent="0.3">
      <c r="A54" s="2" t="s">
        <v>130</v>
      </c>
      <c r="D54" s="5">
        <f>(C53/D53)*100000</f>
        <v>7.306542486339934</v>
      </c>
      <c r="K54" s="2">
        <v>6.4</v>
      </c>
    </row>
    <row r="55" spans="1:11" x14ac:dyDescent="0.3">
      <c r="K55" s="6">
        <f>(K53-K54)/K54</f>
        <v>0.15842220601714377</v>
      </c>
    </row>
    <row r="56" spans="1:11" x14ac:dyDescent="0.3">
      <c r="D56" s="6">
        <f>(D54-7.71)/7.71</f>
        <v>-5.2329119800267963E-2</v>
      </c>
    </row>
    <row r="60" spans="1:11" x14ac:dyDescent="0.3">
      <c r="E60" s="5"/>
    </row>
    <row r="61" spans="1:11" x14ac:dyDescent="0.3">
      <c r="E61" s="5"/>
    </row>
  </sheetData>
  <autoFilter ref="A1:K1" xr:uid="{FA57FC3E-4B9F-410A-BA94-3EBAE7075F4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BFC1D-A544-471B-ABEF-9B9724E5A1E9}">
  <dimension ref="A1:X63"/>
  <sheetViews>
    <sheetView workbookViewId="0">
      <selection activeCell="C54" sqref="C54"/>
    </sheetView>
  </sheetViews>
  <sheetFormatPr defaultRowHeight="14" x14ac:dyDescent="0.3"/>
  <cols>
    <col min="1" max="1" width="8.7265625" style="2" customWidth="1"/>
    <col min="2" max="2" width="11" style="2" customWidth="1"/>
    <col min="3" max="4" width="14.90625" style="2" customWidth="1"/>
    <col min="5" max="5" width="12.453125" style="2" customWidth="1"/>
    <col min="6" max="6" width="11.453125" style="2" customWidth="1"/>
    <col min="7" max="7" width="11" style="2" customWidth="1"/>
    <col min="8" max="16384" width="8.7265625" style="2"/>
  </cols>
  <sheetData>
    <row r="1" spans="1:7" x14ac:dyDescent="0.3">
      <c r="A1" s="1" t="s">
        <v>0</v>
      </c>
      <c r="B1" s="1" t="s">
        <v>54</v>
      </c>
      <c r="C1" s="1" t="s">
        <v>123</v>
      </c>
      <c r="D1" s="1" t="s">
        <v>2</v>
      </c>
      <c r="E1" s="1" t="s">
        <v>124</v>
      </c>
      <c r="F1" s="1" t="s">
        <v>125</v>
      </c>
      <c r="G1" s="1" t="s">
        <v>126</v>
      </c>
    </row>
    <row r="2" spans="1:7" x14ac:dyDescent="0.3">
      <c r="A2" s="2" t="s">
        <v>80</v>
      </c>
      <c r="B2" s="2" t="s">
        <v>56</v>
      </c>
      <c r="C2" s="2">
        <v>625</v>
      </c>
      <c r="D2" s="2">
        <v>7276316</v>
      </c>
      <c r="E2" s="5">
        <v>8.5895115055475877</v>
      </c>
      <c r="G2" s="5">
        <f t="shared" ref="G2:G26" si="0">E2</f>
        <v>8.5895115055475877</v>
      </c>
    </row>
    <row r="3" spans="1:7" x14ac:dyDescent="0.3">
      <c r="A3" s="2" t="s">
        <v>83</v>
      </c>
      <c r="B3" s="2" t="s">
        <v>56</v>
      </c>
      <c r="C3" s="2">
        <v>2227</v>
      </c>
      <c r="D3" s="2">
        <v>39237836</v>
      </c>
      <c r="E3" s="5">
        <v>5.6756442939411853</v>
      </c>
      <c r="G3" s="5">
        <f t="shared" si="0"/>
        <v>5.6756442939411853</v>
      </c>
    </row>
    <row r="4" spans="1:7" x14ac:dyDescent="0.3">
      <c r="A4" s="2" t="s">
        <v>85</v>
      </c>
      <c r="B4" s="2" t="s">
        <v>56</v>
      </c>
      <c r="C4" s="2">
        <v>412</v>
      </c>
      <c r="D4" s="2">
        <v>5812069</v>
      </c>
      <c r="E4" s="5">
        <v>7.0886976737543899</v>
      </c>
      <c r="G4" s="5">
        <f t="shared" si="0"/>
        <v>7.0886976737543899</v>
      </c>
    </row>
    <row r="5" spans="1:7" x14ac:dyDescent="0.3">
      <c r="A5" s="2" t="s">
        <v>91</v>
      </c>
      <c r="B5" s="2" t="s">
        <v>56</v>
      </c>
      <c r="C5" s="2">
        <v>146</v>
      </c>
      <c r="D5" s="2">
        <v>3605597</v>
      </c>
      <c r="E5" s="5">
        <v>4.049260080924185</v>
      </c>
      <c r="G5" s="5">
        <f t="shared" si="0"/>
        <v>4.049260080924185</v>
      </c>
    </row>
    <row r="6" spans="1:7" x14ac:dyDescent="0.3">
      <c r="A6" s="2" t="s">
        <v>70</v>
      </c>
      <c r="B6" s="2" t="s">
        <v>56</v>
      </c>
      <c r="C6" s="2">
        <v>58</v>
      </c>
      <c r="D6" s="2">
        <v>1003384</v>
      </c>
      <c r="E6" s="5">
        <v>5.7804389944428056</v>
      </c>
      <c r="G6" s="5">
        <f t="shared" si="0"/>
        <v>5.7804389944428056</v>
      </c>
    </row>
    <row r="7" spans="1:7" x14ac:dyDescent="0.3">
      <c r="A7" s="2" t="s">
        <v>68</v>
      </c>
      <c r="B7" s="2" t="s">
        <v>56</v>
      </c>
      <c r="C7" s="2">
        <v>1222</v>
      </c>
      <c r="D7" s="2">
        <v>10799566</v>
      </c>
      <c r="E7" s="5">
        <v>11.315269521015937</v>
      </c>
      <c r="G7" s="5">
        <f t="shared" si="0"/>
        <v>11.315269521015937</v>
      </c>
    </row>
    <row r="8" spans="1:7" x14ac:dyDescent="0.3">
      <c r="A8" s="2" t="s">
        <v>101</v>
      </c>
      <c r="B8" s="2" t="s">
        <v>56</v>
      </c>
      <c r="C8" s="2">
        <v>39</v>
      </c>
      <c r="D8" s="2">
        <v>1441553</v>
      </c>
      <c r="E8" s="5">
        <v>2.7054156177400346</v>
      </c>
      <c r="G8" s="5">
        <f t="shared" si="0"/>
        <v>2.7054156177400346</v>
      </c>
    </row>
    <row r="9" spans="1:7" x14ac:dyDescent="0.3">
      <c r="A9" s="2" t="s">
        <v>64</v>
      </c>
      <c r="B9" s="2" t="s">
        <v>56</v>
      </c>
      <c r="C9" s="2">
        <v>1258</v>
      </c>
      <c r="D9" s="2">
        <v>12671469</v>
      </c>
      <c r="E9" s="5">
        <v>9.9278149991922788</v>
      </c>
      <c r="G9" s="5">
        <f t="shared" si="0"/>
        <v>9.9278149991922788</v>
      </c>
    </row>
    <row r="10" spans="1:7" x14ac:dyDescent="0.3">
      <c r="A10" s="2" t="s">
        <v>103</v>
      </c>
      <c r="B10" s="2" t="s">
        <v>56</v>
      </c>
      <c r="C10" s="2">
        <v>154</v>
      </c>
      <c r="D10" s="2">
        <v>6984723</v>
      </c>
      <c r="E10" s="5">
        <v>2.2048118443637637</v>
      </c>
      <c r="G10" s="5">
        <f t="shared" si="0"/>
        <v>2.2048118443637637</v>
      </c>
    </row>
    <row r="11" spans="1:7" x14ac:dyDescent="0.3">
      <c r="A11" s="2" t="s">
        <v>67</v>
      </c>
      <c r="B11" s="2" t="s">
        <v>56</v>
      </c>
      <c r="C11" s="2">
        <v>593</v>
      </c>
      <c r="D11" s="2">
        <v>6165129</v>
      </c>
      <c r="E11" s="5">
        <v>9.6186146307725267</v>
      </c>
      <c r="G11" s="5">
        <f t="shared" si="0"/>
        <v>9.6186146307725267</v>
      </c>
    </row>
    <row r="12" spans="1:7" x14ac:dyDescent="0.3">
      <c r="A12" s="2" t="s">
        <v>105</v>
      </c>
      <c r="B12" s="2" t="s">
        <v>56</v>
      </c>
      <c r="C12" s="2">
        <v>32</v>
      </c>
      <c r="D12" s="2">
        <v>1372247</v>
      </c>
      <c r="E12" s="5">
        <v>2.3319416985426091</v>
      </c>
      <c r="G12" s="5">
        <f t="shared" si="0"/>
        <v>2.3319416985426091</v>
      </c>
    </row>
    <row r="13" spans="1:7" x14ac:dyDescent="0.3">
      <c r="A13" s="2" t="s">
        <v>78</v>
      </c>
      <c r="B13" s="2" t="s">
        <v>56</v>
      </c>
      <c r="C13" s="2">
        <v>761</v>
      </c>
      <c r="D13" s="2">
        <v>10050811</v>
      </c>
      <c r="E13" s="5">
        <v>7.5715283075166768</v>
      </c>
      <c r="G13" s="5">
        <f t="shared" si="0"/>
        <v>7.5715283075166768</v>
      </c>
    </row>
    <row r="14" spans="1:7" x14ac:dyDescent="0.3">
      <c r="A14" s="2" t="s">
        <v>95</v>
      </c>
      <c r="B14" s="2" t="s">
        <v>56</v>
      </c>
      <c r="C14" s="2">
        <v>203</v>
      </c>
      <c r="D14" s="2">
        <v>5707390</v>
      </c>
      <c r="E14" s="5">
        <v>3.5567921589377978</v>
      </c>
      <c r="G14" s="5">
        <f t="shared" si="0"/>
        <v>3.5567921589377978</v>
      </c>
    </row>
    <row r="15" spans="1:7" x14ac:dyDescent="0.3">
      <c r="A15" s="2" t="s">
        <v>107</v>
      </c>
      <c r="B15" s="2" t="s">
        <v>56</v>
      </c>
      <c r="C15" s="2">
        <v>25</v>
      </c>
      <c r="D15" s="2">
        <v>1388992</v>
      </c>
      <c r="E15" s="5">
        <v>1.7998663779201032</v>
      </c>
      <c r="G15" s="5">
        <f t="shared" si="0"/>
        <v>1.7998663779201032</v>
      </c>
    </row>
    <row r="16" spans="1:7" x14ac:dyDescent="0.3">
      <c r="A16" s="2" t="s">
        <v>92</v>
      </c>
      <c r="B16" s="2" t="s">
        <v>56</v>
      </c>
      <c r="C16" s="2">
        <v>306</v>
      </c>
      <c r="D16" s="2">
        <v>9267130</v>
      </c>
      <c r="E16" s="5">
        <v>3.3019931737226087</v>
      </c>
      <c r="G16" s="5">
        <f t="shared" si="0"/>
        <v>3.3019931737226087</v>
      </c>
    </row>
    <row r="17" spans="1:7" x14ac:dyDescent="0.3">
      <c r="A17" s="2" t="s">
        <v>62</v>
      </c>
      <c r="B17" s="2" t="s">
        <v>56</v>
      </c>
      <c r="C17" s="2">
        <v>289</v>
      </c>
      <c r="D17" s="2">
        <v>2115877</v>
      </c>
      <c r="E17" s="5">
        <v>13.65863894734902</v>
      </c>
      <c r="G17" s="5">
        <f t="shared" si="0"/>
        <v>13.65863894734902</v>
      </c>
    </row>
    <row r="18" spans="1:7" x14ac:dyDescent="0.3">
      <c r="A18" s="2" t="s">
        <v>76</v>
      </c>
      <c r="B18" s="2" t="s">
        <v>56</v>
      </c>
      <c r="C18" s="2">
        <v>245</v>
      </c>
      <c r="D18" s="2">
        <v>3143991</v>
      </c>
      <c r="E18" s="5">
        <v>7.7926431723246035</v>
      </c>
      <c r="G18" s="5">
        <f t="shared" si="0"/>
        <v>7.7926431723246035</v>
      </c>
    </row>
    <row r="19" spans="1:7" x14ac:dyDescent="0.3">
      <c r="A19" s="2" t="s">
        <v>90</v>
      </c>
      <c r="B19" s="2" t="s">
        <v>56</v>
      </c>
      <c r="C19" s="2">
        <v>820</v>
      </c>
      <c r="D19" s="2">
        <v>19835913</v>
      </c>
      <c r="E19" s="5">
        <v>4.1339160945099929</v>
      </c>
      <c r="G19" s="5">
        <f t="shared" si="0"/>
        <v>4.1339160945099929</v>
      </c>
    </row>
    <row r="20" spans="1:7" x14ac:dyDescent="0.3">
      <c r="A20" s="2" t="s">
        <v>89</v>
      </c>
      <c r="B20" s="2" t="s">
        <v>56</v>
      </c>
      <c r="C20" s="2">
        <v>217</v>
      </c>
      <c r="D20" s="2">
        <v>4246155</v>
      </c>
      <c r="E20" s="5">
        <v>5.1105058576523943</v>
      </c>
      <c r="G20" s="5">
        <f t="shared" si="0"/>
        <v>5.1105058576523943</v>
      </c>
    </row>
    <row r="21" spans="1:7" x14ac:dyDescent="0.3">
      <c r="A21" s="2" t="s">
        <v>77</v>
      </c>
      <c r="B21" s="2" t="s">
        <v>56</v>
      </c>
      <c r="C21" s="2">
        <v>1054</v>
      </c>
      <c r="D21" s="2">
        <v>12964056</v>
      </c>
      <c r="E21" s="5">
        <v>8.1301716067872594</v>
      </c>
      <c r="G21" s="5">
        <f t="shared" si="0"/>
        <v>8.1301716067872594</v>
      </c>
    </row>
    <row r="22" spans="1:7" x14ac:dyDescent="0.3">
      <c r="A22" s="2" t="s">
        <v>96</v>
      </c>
      <c r="B22" s="2" t="s">
        <v>56</v>
      </c>
      <c r="C22" s="2">
        <v>25</v>
      </c>
      <c r="D22" s="2">
        <v>1095610</v>
      </c>
      <c r="E22" s="5">
        <v>2.2818338642400122</v>
      </c>
      <c r="G22" s="5">
        <f t="shared" si="0"/>
        <v>2.2818338642400122</v>
      </c>
    </row>
    <row r="23" spans="1:7" x14ac:dyDescent="0.3">
      <c r="A23" s="2" t="s">
        <v>81</v>
      </c>
      <c r="B23" s="2" t="s">
        <v>56</v>
      </c>
      <c r="C23" s="2">
        <v>628</v>
      </c>
      <c r="D23" s="2">
        <v>8642274</v>
      </c>
      <c r="E23" s="5">
        <v>7.2666059881924596</v>
      </c>
      <c r="G23" s="5">
        <f t="shared" si="0"/>
        <v>7.2666059881924596</v>
      </c>
    </row>
    <row r="24" spans="1:7" x14ac:dyDescent="0.3">
      <c r="A24" s="2" t="s">
        <v>106</v>
      </c>
      <c r="B24" s="2" t="s">
        <v>56</v>
      </c>
      <c r="C24" s="2">
        <v>24</v>
      </c>
      <c r="D24" s="2">
        <v>645570</v>
      </c>
      <c r="E24" s="5">
        <v>3.7176448719736048</v>
      </c>
      <c r="G24" s="5">
        <f t="shared" si="0"/>
        <v>3.7176448719736048</v>
      </c>
    </row>
    <row r="25" spans="1:7" x14ac:dyDescent="0.3">
      <c r="A25" s="2" t="s">
        <v>93</v>
      </c>
      <c r="B25" s="2" t="s">
        <v>56</v>
      </c>
      <c r="C25" s="2">
        <v>412</v>
      </c>
      <c r="D25" s="2">
        <v>7738692</v>
      </c>
      <c r="E25" s="5">
        <v>5.3238971133623094</v>
      </c>
      <c r="G25" s="5">
        <f t="shared" si="0"/>
        <v>5.3238971133623094</v>
      </c>
    </row>
    <row r="26" spans="1:7" x14ac:dyDescent="0.3">
      <c r="A26" s="2" t="s">
        <v>87</v>
      </c>
      <c r="B26" s="2" t="s">
        <v>56</v>
      </c>
      <c r="C26" s="2">
        <v>328</v>
      </c>
      <c r="D26" s="2">
        <v>5895908</v>
      </c>
      <c r="E26" s="5">
        <v>5.5631804295453726</v>
      </c>
      <c r="G26" s="5">
        <f t="shared" si="0"/>
        <v>5.5631804295453726</v>
      </c>
    </row>
    <row r="27" spans="1:7" x14ac:dyDescent="0.3">
      <c r="A27" s="2" t="s">
        <v>108</v>
      </c>
      <c r="B27" s="2" t="s">
        <v>55</v>
      </c>
      <c r="C27" s="2">
        <v>74</v>
      </c>
      <c r="D27" s="2">
        <v>732673</v>
      </c>
      <c r="E27" s="5">
        <v>10.10000368513648</v>
      </c>
      <c r="F27" s="5">
        <f t="shared" ref="F27:F51" si="1">E27</f>
        <v>10.10000368513648</v>
      </c>
    </row>
    <row r="28" spans="1:7" x14ac:dyDescent="0.3">
      <c r="A28" s="2" t="s">
        <v>61</v>
      </c>
      <c r="B28" s="2" t="s">
        <v>55</v>
      </c>
      <c r="C28" s="2">
        <v>702</v>
      </c>
      <c r="D28" s="2">
        <v>5039877</v>
      </c>
      <c r="E28" s="5">
        <v>13.92891136033677</v>
      </c>
      <c r="F28" s="5">
        <f t="shared" si="1"/>
        <v>13.92891136033677</v>
      </c>
    </row>
    <row r="29" spans="1:7" x14ac:dyDescent="0.3">
      <c r="A29" s="2" t="s">
        <v>69</v>
      </c>
      <c r="B29" s="2" t="s">
        <v>55</v>
      </c>
      <c r="C29" s="2">
        <v>322</v>
      </c>
      <c r="D29" s="2">
        <v>3025891</v>
      </c>
      <c r="E29" s="5">
        <v>10.641493695575948</v>
      </c>
      <c r="F29" s="5">
        <f t="shared" si="1"/>
        <v>10.641493695575948</v>
      </c>
    </row>
    <row r="30" spans="1:7" x14ac:dyDescent="0.3">
      <c r="A30" s="2" t="s">
        <v>82</v>
      </c>
      <c r="B30" s="2" t="s">
        <v>55</v>
      </c>
      <c r="C30" s="2">
        <v>1473</v>
      </c>
      <c r="D30" s="2">
        <v>21781128</v>
      </c>
      <c r="E30" s="5">
        <v>6.7627351531105271</v>
      </c>
      <c r="F30" s="5">
        <f t="shared" si="1"/>
        <v>6.7627351531105271</v>
      </c>
    </row>
    <row r="31" spans="1:7" x14ac:dyDescent="0.3">
      <c r="A31" s="2" t="s">
        <v>99</v>
      </c>
      <c r="B31" s="2" t="s">
        <v>55</v>
      </c>
      <c r="C31" s="2">
        <v>90</v>
      </c>
      <c r="D31" s="2">
        <v>3193079</v>
      </c>
      <c r="E31" s="5">
        <v>2.8185960948664284</v>
      </c>
      <c r="F31" s="5">
        <f t="shared" si="1"/>
        <v>2.8185960948664284</v>
      </c>
    </row>
    <row r="32" spans="1:7" x14ac:dyDescent="0.3">
      <c r="A32" s="2" t="s">
        <v>104</v>
      </c>
      <c r="B32" s="2" t="s">
        <v>55</v>
      </c>
      <c r="C32" s="2">
        <v>48</v>
      </c>
      <c r="D32" s="2">
        <v>1900923</v>
      </c>
      <c r="E32" s="5">
        <v>2.5250891277553063</v>
      </c>
      <c r="F32" s="5">
        <f t="shared" si="1"/>
        <v>2.5250891277553063</v>
      </c>
    </row>
    <row r="33" spans="1:6" x14ac:dyDescent="0.3">
      <c r="A33" s="2" t="s">
        <v>72</v>
      </c>
      <c r="B33" s="2" t="s">
        <v>55</v>
      </c>
      <c r="C33" s="2">
        <v>555</v>
      </c>
      <c r="D33" s="2">
        <v>6805985</v>
      </c>
      <c r="E33" s="5">
        <v>8.1545874697049729</v>
      </c>
      <c r="F33" s="5">
        <f t="shared" si="1"/>
        <v>8.1545874697049729</v>
      </c>
    </row>
    <row r="34" spans="1:6" x14ac:dyDescent="0.3">
      <c r="A34" s="2" t="s">
        <v>86</v>
      </c>
      <c r="B34" s="2" t="s">
        <v>55</v>
      </c>
      <c r="C34" s="2">
        <v>174</v>
      </c>
      <c r="D34" s="2">
        <v>2934582</v>
      </c>
      <c r="E34" s="5">
        <v>5.9292941890872362</v>
      </c>
      <c r="F34" s="5">
        <f t="shared" si="1"/>
        <v>5.9292941890872362</v>
      </c>
    </row>
    <row r="35" spans="1:6" x14ac:dyDescent="0.3">
      <c r="A35" s="2" t="s">
        <v>73</v>
      </c>
      <c r="B35" s="2" t="s">
        <v>55</v>
      </c>
      <c r="C35" s="2">
        <v>346</v>
      </c>
      <c r="D35" s="2">
        <v>4509394</v>
      </c>
      <c r="E35" s="5">
        <v>7.6728713436883096</v>
      </c>
      <c r="F35" s="5">
        <f t="shared" si="1"/>
        <v>7.6728713436883096</v>
      </c>
    </row>
    <row r="36" spans="1:6" x14ac:dyDescent="0.3">
      <c r="A36" s="2" t="s">
        <v>60</v>
      </c>
      <c r="B36" s="2" t="s">
        <v>55</v>
      </c>
      <c r="C36" s="2">
        <v>847</v>
      </c>
      <c r="D36" s="2">
        <v>4624047</v>
      </c>
      <c r="E36" s="5">
        <v>18.317287864937359</v>
      </c>
      <c r="F36" s="5">
        <f t="shared" si="1"/>
        <v>18.317287864937359</v>
      </c>
    </row>
    <row r="37" spans="1:6" x14ac:dyDescent="0.3">
      <c r="A37" s="2" t="s">
        <v>65</v>
      </c>
      <c r="B37" s="2" t="s">
        <v>55</v>
      </c>
      <c r="C37" s="2">
        <v>742</v>
      </c>
      <c r="D37" s="2">
        <v>6168187</v>
      </c>
      <c r="E37" s="5">
        <v>12.029466681214432</v>
      </c>
      <c r="F37" s="5">
        <f t="shared" si="1"/>
        <v>12.029466681214432</v>
      </c>
    </row>
    <row r="38" spans="1:6" x14ac:dyDescent="0.3">
      <c r="A38" s="2" t="s">
        <v>59</v>
      </c>
      <c r="B38" s="2" t="s">
        <v>55</v>
      </c>
      <c r="C38" s="2">
        <v>551</v>
      </c>
      <c r="D38" s="2">
        <v>2949965</v>
      </c>
      <c r="E38" s="5">
        <v>18.678187707311782</v>
      </c>
      <c r="F38" s="5">
        <f t="shared" si="1"/>
        <v>18.678187707311782</v>
      </c>
    </row>
    <row r="39" spans="1:6" x14ac:dyDescent="0.3">
      <c r="A39" s="2" t="s">
        <v>94</v>
      </c>
      <c r="B39" s="2" t="s">
        <v>55</v>
      </c>
      <c r="C39" s="2">
        <v>58</v>
      </c>
      <c r="D39" s="2">
        <v>1104271</v>
      </c>
      <c r="E39" s="5">
        <v>5.2523338926767069</v>
      </c>
      <c r="F39" s="5">
        <f t="shared" si="1"/>
        <v>5.2523338926767069</v>
      </c>
    </row>
    <row r="40" spans="1:6" x14ac:dyDescent="0.3">
      <c r="A40" s="2" t="s">
        <v>71</v>
      </c>
      <c r="B40" s="2" t="s">
        <v>55</v>
      </c>
      <c r="C40" s="2">
        <v>924</v>
      </c>
      <c r="D40" s="2">
        <v>10551162</v>
      </c>
      <c r="E40" s="5">
        <v>8.7573292875230244</v>
      </c>
      <c r="F40" s="5">
        <f t="shared" si="1"/>
        <v>8.7573292875230244</v>
      </c>
    </row>
    <row r="41" spans="1:6" x14ac:dyDescent="0.3">
      <c r="A41" s="2" t="s">
        <v>98</v>
      </c>
      <c r="B41" s="2" t="s">
        <v>55</v>
      </c>
      <c r="C41" s="2">
        <v>28</v>
      </c>
      <c r="D41" s="2">
        <v>774948</v>
      </c>
      <c r="E41" s="5">
        <v>3.6131456562246758</v>
      </c>
      <c r="F41" s="5">
        <f t="shared" si="1"/>
        <v>3.6131456562246758</v>
      </c>
    </row>
    <row r="42" spans="1:6" x14ac:dyDescent="0.3">
      <c r="A42" s="2" t="s">
        <v>97</v>
      </c>
      <c r="B42" s="2" t="s">
        <v>55</v>
      </c>
      <c r="C42" s="2">
        <v>67</v>
      </c>
      <c r="D42" s="2">
        <v>1963692</v>
      </c>
      <c r="E42" s="5">
        <v>3.4119403653933511</v>
      </c>
      <c r="F42" s="5">
        <f t="shared" si="1"/>
        <v>3.4119403653933511</v>
      </c>
    </row>
    <row r="43" spans="1:6" x14ac:dyDescent="0.3">
      <c r="A43" s="2" t="s">
        <v>74</v>
      </c>
      <c r="B43" s="2" t="s">
        <v>55</v>
      </c>
      <c r="C43" s="2">
        <v>905</v>
      </c>
      <c r="D43" s="2">
        <v>11780017</v>
      </c>
      <c r="E43" s="5">
        <v>7.6825016466444822</v>
      </c>
      <c r="F43" s="5">
        <f t="shared" si="1"/>
        <v>7.6825016466444822</v>
      </c>
    </row>
    <row r="44" spans="1:6" x14ac:dyDescent="0.3">
      <c r="A44" s="2" t="s">
        <v>75</v>
      </c>
      <c r="B44" s="2" t="s">
        <v>55</v>
      </c>
      <c r="C44" s="2">
        <v>319</v>
      </c>
      <c r="D44" s="2">
        <v>3986639</v>
      </c>
      <c r="E44" s="5">
        <v>8.0017277711877099</v>
      </c>
      <c r="F44" s="5">
        <f t="shared" si="1"/>
        <v>8.0017277711877099</v>
      </c>
    </row>
    <row r="45" spans="1:6" x14ac:dyDescent="0.3">
      <c r="A45" s="2" t="s">
        <v>63</v>
      </c>
      <c r="B45" s="2" t="s">
        <v>55</v>
      </c>
      <c r="C45" s="2">
        <v>578</v>
      </c>
      <c r="D45" s="2">
        <v>5190705</v>
      </c>
      <c r="E45" s="5">
        <v>11.135288944372681</v>
      </c>
      <c r="F45" s="5">
        <f t="shared" si="1"/>
        <v>11.135288944372681</v>
      </c>
    </row>
    <row r="46" spans="1:6" x14ac:dyDescent="0.3">
      <c r="A46" s="2" t="s">
        <v>88</v>
      </c>
      <c r="B46" s="2" t="s">
        <v>55</v>
      </c>
      <c r="C46" s="2">
        <v>55</v>
      </c>
      <c r="D46" s="2">
        <v>895376</v>
      </c>
      <c r="E46" s="5">
        <v>6.1426707885849074</v>
      </c>
      <c r="F46" s="5">
        <f t="shared" si="1"/>
        <v>6.1426707885849074</v>
      </c>
    </row>
    <row r="47" spans="1:6" x14ac:dyDescent="0.3">
      <c r="A47" s="2" t="s">
        <v>66</v>
      </c>
      <c r="B47" s="2" t="s">
        <v>55</v>
      </c>
      <c r="C47" s="2">
        <v>760</v>
      </c>
      <c r="D47" s="2">
        <v>6975218</v>
      </c>
      <c r="E47" s="5">
        <v>10.895716807704074</v>
      </c>
      <c r="F47" s="5">
        <f t="shared" si="1"/>
        <v>10.895716807704074</v>
      </c>
    </row>
    <row r="48" spans="1:6" x14ac:dyDescent="0.3">
      <c r="A48" s="2" t="s">
        <v>79</v>
      </c>
      <c r="B48" s="2" t="s">
        <v>55</v>
      </c>
      <c r="C48" s="2">
        <v>2277</v>
      </c>
      <c r="D48" s="2">
        <v>29527941</v>
      </c>
      <c r="E48" s="5">
        <v>7.7113402522715688</v>
      </c>
      <c r="F48" s="5">
        <f t="shared" si="1"/>
        <v>7.7113402522715688</v>
      </c>
    </row>
    <row r="49" spans="1:24" x14ac:dyDescent="0.3">
      <c r="A49" s="2" t="s">
        <v>102</v>
      </c>
      <c r="B49" s="2" t="s">
        <v>55</v>
      </c>
      <c r="C49" s="2">
        <v>76</v>
      </c>
      <c r="D49" s="2">
        <v>3337975</v>
      </c>
      <c r="E49" s="5">
        <v>2.2768295149005011</v>
      </c>
      <c r="F49" s="5">
        <f t="shared" si="1"/>
        <v>2.2768295149005011</v>
      </c>
    </row>
    <row r="50" spans="1:24" x14ac:dyDescent="0.3">
      <c r="A50" s="2" t="s">
        <v>84</v>
      </c>
      <c r="B50" s="2" t="s">
        <v>55</v>
      </c>
      <c r="C50" s="2">
        <v>112</v>
      </c>
      <c r="D50" s="2">
        <v>1782959</v>
      </c>
      <c r="E50" s="5">
        <v>6.2816924001056673</v>
      </c>
      <c r="F50" s="5">
        <f t="shared" si="1"/>
        <v>6.2816924001056673</v>
      </c>
    </row>
    <row r="51" spans="1:24" x14ac:dyDescent="0.3">
      <c r="A51" s="2" t="s">
        <v>100</v>
      </c>
      <c r="B51" s="2" t="s">
        <v>55</v>
      </c>
      <c r="C51" s="2">
        <v>15</v>
      </c>
      <c r="D51" s="2">
        <v>578803</v>
      </c>
      <c r="E51" s="5">
        <v>2.5915553305701593</v>
      </c>
      <c r="F51" s="5">
        <f t="shared" si="1"/>
        <v>2.5915553305701593</v>
      </c>
    </row>
    <row r="53" spans="1:24" x14ac:dyDescent="0.3">
      <c r="C53" s="2" t="s">
        <v>132</v>
      </c>
      <c r="D53" s="2">
        <f>SUM(D2:D26)</f>
        <v>189108258</v>
      </c>
      <c r="E53" s="2" t="s">
        <v>130</v>
      </c>
      <c r="F53" s="5">
        <f>((SUM(C27:C51))/(SUM(D27:D51)))*100000</f>
        <v>8.5127979446736681</v>
      </c>
      <c r="G53" s="5">
        <f>((SUM(C2:C26))/(SUM(D2:D26)))*100000</f>
        <v>6.4000378026854863</v>
      </c>
    </row>
    <row r="54" spans="1:24" x14ac:dyDescent="0.3">
      <c r="D54" s="2">
        <f>(D53*(8.5/100000))-(D53*(6.4/100000))</f>
        <v>3971.2734180000025</v>
      </c>
    </row>
    <row r="55" spans="1:24" x14ac:dyDescent="0.3">
      <c r="E55" s="2" t="s">
        <v>131</v>
      </c>
      <c r="G55" s="6">
        <f>(F53-G53)/G53</f>
        <v>0.33011682229465233</v>
      </c>
    </row>
    <row r="58" spans="1:24" x14ac:dyDescent="0.3">
      <c r="B58" s="2">
        <v>2000</v>
      </c>
      <c r="C58" s="2">
        <v>2001</v>
      </c>
      <c r="D58" s="2">
        <v>2002</v>
      </c>
      <c r="E58" s="2">
        <v>2003</v>
      </c>
      <c r="F58" s="2">
        <v>2004</v>
      </c>
      <c r="G58" s="2">
        <v>2005</v>
      </c>
      <c r="H58" s="2">
        <v>2006</v>
      </c>
      <c r="I58" s="2">
        <v>2007</v>
      </c>
      <c r="J58" s="2">
        <v>2008</v>
      </c>
      <c r="K58" s="2">
        <v>2009</v>
      </c>
      <c r="L58" s="2">
        <v>2010</v>
      </c>
      <c r="M58" s="2">
        <v>2011</v>
      </c>
      <c r="N58" s="2">
        <v>2012</v>
      </c>
      <c r="O58" s="2">
        <v>2013</v>
      </c>
      <c r="P58" s="2">
        <v>2014</v>
      </c>
      <c r="Q58" s="2">
        <v>2015</v>
      </c>
      <c r="R58" s="2">
        <v>2016</v>
      </c>
      <c r="S58" s="2">
        <v>2017</v>
      </c>
      <c r="T58" s="2">
        <v>2018</v>
      </c>
      <c r="U58" s="2">
        <v>2019</v>
      </c>
      <c r="V58" s="2">
        <v>2020</v>
      </c>
      <c r="W58" s="2">
        <v>2021</v>
      </c>
      <c r="X58" s="2">
        <v>2022</v>
      </c>
    </row>
    <row r="59" spans="1:24" x14ac:dyDescent="0.3">
      <c r="A59" s="2" t="s">
        <v>128</v>
      </c>
      <c r="B59" s="5">
        <v>5.4654014493708605</v>
      </c>
      <c r="C59" s="5">
        <v>5.6520836453872798</v>
      </c>
      <c r="D59" s="5">
        <v>5.7149982058424929</v>
      </c>
      <c r="E59" s="5">
        <v>5.76342776959308</v>
      </c>
      <c r="F59" s="5">
        <v>5.6002736822295471</v>
      </c>
      <c r="G59" s="5">
        <v>5.7654474451153952</v>
      </c>
      <c r="H59" s="5">
        <v>5.805586828820184</v>
      </c>
      <c r="I59" s="5">
        <v>5.5154748645681941</v>
      </c>
      <c r="J59" s="5">
        <v>5.2525413851130134</v>
      </c>
      <c r="K59" s="5">
        <v>4.8899817117046567</v>
      </c>
      <c r="L59" s="5">
        <v>4.8047279193075187</v>
      </c>
      <c r="M59" s="5">
        <v>4.6788968812921068</v>
      </c>
      <c r="N59" s="5">
        <v>4.7402313240609084</v>
      </c>
      <c r="O59" s="5">
        <v>4.4874782515024849</v>
      </c>
      <c r="P59" s="5">
        <v>4.3753852085701466</v>
      </c>
      <c r="Q59" s="5">
        <v>4.8932941797466452</v>
      </c>
      <c r="R59" s="5">
        <v>5.2294917668506056</v>
      </c>
      <c r="S59" s="5">
        <v>5.1373688541283844</v>
      </c>
      <c r="T59" s="5">
        <v>4.926374706387425</v>
      </c>
      <c r="U59" s="5">
        <v>4.86543390530725</v>
      </c>
      <c r="V59" s="5">
        <v>6.2</v>
      </c>
      <c r="W59" s="2">
        <v>6.75</v>
      </c>
      <c r="X59" s="2">
        <v>6.4</v>
      </c>
    </row>
    <row r="60" spans="1:24" x14ac:dyDescent="0.3">
      <c r="A60" s="2" t="s">
        <v>129</v>
      </c>
      <c r="B60" s="5">
        <v>6.3452043198489143</v>
      </c>
      <c r="C60" s="5">
        <v>6.4351567629897346</v>
      </c>
      <c r="D60" s="5">
        <v>6.3804198055806767</v>
      </c>
      <c r="E60" s="5">
        <v>6.2930265388155622</v>
      </c>
      <c r="F60" s="5">
        <v>6.1180969427393865</v>
      </c>
      <c r="G60" s="5">
        <v>6.3404629078753372</v>
      </c>
      <c r="H60" s="5">
        <v>6.5030299399579121</v>
      </c>
      <c r="I60" s="5">
        <v>6.6181074877669559</v>
      </c>
      <c r="J60" s="5">
        <v>6.4118118640590094</v>
      </c>
      <c r="K60" s="5">
        <v>6.0089866123656543</v>
      </c>
      <c r="L60" s="5">
        <v>5.61017780154486</v>
      </c>
      <c r="M60" s="5">
        <v>5.7075130245600141</v>
      </c>
      <c r="N60" s="5">
        <v>5.8826715667560237</v>
      </c>
      <c r="O60" s="5">
        <v>5.698473015056063</v>
      </c>
      <c r="P60" s="5">
        <v>5.7695082997014957</v>
      </c>
      <c r="Q60" s="5">
        <v>6.3634584678424684</v>
      </c>
      <c r="R60" s="5">
        <v>6.9626338745990326</v>
      </c>
      <c r="S60" s="5">
        <v>7.1088070830157815</v>
      </c>
      <c r="T60" s="5">
        <v>6.8064733372718003</v>
      </c>
      <c r="U60" s="5">
        <v>7.0303959968862495</v>
      </c>
      <c r="V60" s="5">
        <v>8.84</v>
      </c>
      <c r="W60" s="2">
        <v>8.99</v>
      </c>
      <c r="X60" s="2">
        <v>8.51</v>
      </c>
    </row>
    <row r="62" spans="1:24" x14ac:dyDescent="0.3">
      <c r="U62" s="6"/>
      <c r="V62" s="6"/>
      <c r="W62" s="6"/>
    </row>
    <row r="63" spans="1:24" x14ac:dyDescent="0.3">
      <c r="U63" s="6"/>
      <c r="V63" s="6"/>
      <c r="W63" s="6"/>
    </row>
  </sheetData>
  <autoFilter ref="A1:G1" xr:uid="{06BBFC1D-A544-471B-ABEF-9B9724E5A1E9}">
    <sortState xmlns:xlrd2="http://schemas.microsoft.com/office/spreadsheetml/2017/richdata2" ref="A2:G51">
      <sortCondition ref="B1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9CDFF-370E-4692-8695-B91893A5FBC9}">
  <dimension ref="A1:M51"/>
  <sheetViews>
    <sheetView workbookViewId="0">
      <selection activeCell="I47" sqref="I47"/>
    </sheetView>
  </sheetViews>
  <sheetFormatPr defaultRowHeight="14" x14ac:dyDescent="0.3"/>
  <cols>
    <col min="1" max="1" width="10.54296875" style="2" customWidth="1"/>
    <col min="2" max="2" width="8.7265625" style="2"/>
    <col min="3" max="3" width="14" style="2" customWidth="1"/>
    <col min="4" max="4" width="15.453125" style="2" customWidth="1"/>
    <col min="5" max="5" width="16.1796875" style="2" customWidth="1"/>
    <col min="6" max="7" width="8.7265625" style="2"/>
    <col min="8" max="8" width="15.54296875" style="2" customWidth="1"/>
    <col min="9" max="9" width="11.54296875" style="2" customWidth="1"/>
    <col min="10" max="12" width="8.7265625" style="2"/>
    <col min="13" max="13" width="14.81640625" style="2" customWidth="1"/>
    <col min="14" max="16384" width="8.7265625" style="2"/>
  </cols>
  <sheetData>
    <row r="1" spans="1:13" ht="14.5" thickBot="1" x14ac:dyDescent="0.35">
      <c r="A1" s="1" t="s">
        <v>0</v>
      </c>
      <c r="C1" s="1" t="s">
        <v>117</v>
      </c>
      <c r="D1" s="1" t="s">
        <v>2</v>
      </c>
      <c r="E1" s="1" t="s">
        <v>118</v>
      </c>
      <c r="F1" s="1" t="s">
        <v>120</v>
      </c>
    </row>
    <row r="2" spans="1:13" ht="29.5" thickBot="1" x14ac:dyDescent="0.4">
      <c r="A2" s="7" t="s">
        <v>83</v>
      </c>
      <c r="B2" s="2" t="s">
        <v>114</v>
      </c>
      <c r="C2" s="2">
        <v>24897685000</v>
      </c>
      <c r="D2" s="2">
        <v>39237836</v>
      </c>
      <c r="E2" s="9">
        <f t="shared" ref="E2:E33" si="0">(C2/D2)</f>
        <v>634.53257208170191</v>
      </c>
      <c r="F2" s="6">
        <f>(E2-J$3)/J$3</f>
        <v>0.56028289742007753</v>
      </c>
      <c r="H2" s="1" t="s">
        <v>119</v>
      </c>
      <c r="L2" s="16" t="s">
        <v>0</v>
      </c>
      <c r="M2" s="17" t="s">
        <v>122</v>
      </c>
    </row>
    <row r="3" spans="1:13" ht="15" thickBot="1" x14ac:dyDescent="0.4">
      <c r="A3" s="7" t="s">
        <v>108</v>
      </c>
      <c r="B3" s="2" t="s">
        <v>114</v>
      </c>
      <c r="C3" s="8">
        <v>405508000</v>
      </c>
      <c r="D3" s="2">
        <v>732673</v>
      </c>
      <c r="E3" s="9">
        <f t="shared" si="0"/>
        <v>553.46382356112485</v>
      </c>
      <c r="F3" s="6">
        <f t="shared" ref="F3:F51" si="1">(E3-J$3)/J$3</f>
        <v>0.36093902226339158</v>
      </c>
      <c r="H3" s="8">
        <v>134976395000</v>
      </c>
      <c r="I3" s="8">
        <v>331900000</v>
      </c>
      <c r="J3" s="9">
        <f>H3/I3</f>
        <v>406.67789996987045</v>
      </c>
      <c r="L3" s="22" t="s">
        <v>83</v>
      </c>
      <c r="M3" s="24">
        <v>634.53257208170191</v>
      </c>
    </row>
    <row r="4" spans="1:13" ht="15" thickBot="1" x14ac:dyDescent="0.4">
      <c r="A4" s="7" t="s">
        <v>90</v>
      </c>
      <c r="B4" s="2" t="s">
        <v>114</v>
      </c>
      <c r="C4" s="2">
        <v>10709817000</v>
      </c>
      <c r="D4" s="2">
        <v>19835913</v>
      </c>
      <c r="E4" s="9">
        <f t="shared" si="0"/>
        <v>539.9205471409357</v>
      </c>
      <c r="F4" s="6">
        <f t="shared" si="1"/>
        <v>0.32763680342830726</v>
      </c>
      <c r="L4" s="20" t="s">
        <v>108</v>
      </c>
      <c r="M4" s="25">
        <v>553.46382356112485</v>
      </c>
    </row>
    <row r="5" spans="1:13" ht="15" thickBot="1" x14ac:dyDescent="0.4">
      <c r="A5" s="7" t="s">
        <v>67</v>
      </c>
      <c r="B5" s="2" t="s">
        <v>114</v>
      </c>
      <c r="C5" s="2">
        <v>3148625000</v>
      </c>
      <c r="D5" s="2">
        <v>6165129</v>
      </c>
      <c r="E5" s="9">
        <f t="shared" si="0"/>
        <v>510.71518535946285</v>
      </c>
      <c r="F5" s="6">
        <f t="shared" si="1"/>
        <v>0.2558223237537624</v>
      </c>
      <c r="L5" s="22" t="s">
        <v>90</v>
      </c>
      <c r="M5" s="24">
        <v>539.9205471409357</v>
      </c>
    </row>
    <row r="6" spans="1:13" ht="15" thickBot="1" x14ac:dyDescent="0.4">
      <c r="A6" s="7" t="s">
        <v>82</v>
      </c>
      <c r="B6" s="2" t="s">
        <v>114</v>
      </c>
      <c r="C6" s="2">
        <v>10587897000</v>
      </c>
      <c r="D6" s="2">
        <v>21781128</v>
      </c>
      <c r="E6" s="9">
        <f t="shared" si="0"/>
        <v>486.10416320036319</v>
      </c>
      <c r="F6" s="6">
        <f t="shared" si="1"/>
        <v>0.19530508846528713</v>
      </c>
      <c r="L6" s="22" t="s">
        <v>67</v>
      </c>
      <c r="M6" s="24">
        <v>510.71518535946285</v>
      </c>
    </row>
    <row r="7" spans="1:13" ht="15" thickBot="1" x14ac:dyDescent="0.4">
      <c r="A7" s="7" t="s">
        <v>64</v>
      </c>
      <c r="B7" s="2" t="s">
        <v>114</v>
      </c>
      <c r="C7" s="2">
        <v>5971534000</v>
      </c>
      <c r="D7" s="2">
        <v>12671469</v>
      </c>
      <c r="E7" s="9">
        <f t="shared" si="0"/>
        <v>471.25822586157926</v>
      </c>
      <c r="F7" s="6">
        <f t="shared" si="1"/>
        <v>0.15879969355721904</v>
      </c>
      <c r="L7" s="20" t="s">
        <v>82</v>
      </c>
      <c r="M7" s="25">
        <v>486.10416320036319</v>
      </c>
    </row>
    <row r="8" spans="1:13" ht="15" thickBot="1" x14ac:dyDescent="0.4">
      <c r="A8" s="7" t="s">
        <v>76</v>
      </c>
      <c r="B8" s="2" t="s">
        <v>114</v>
      </c>
      <c r="C8" s="2">
        <v>1464959000</v>
      </c>
      <c r="D8" s="2">
        <v>3143991</v>
      </c>
      <c r="E8" s="9">
        <f t="shared" si="0"/>
        <v>465.95521424838682</v>
      </c>
      <c r="F8" s="6">
        <f t="shared" si="1"/>
        <v>0.14575986126344226</v>
      </c>
      <c r="L8" s="22" t="s">
        <v>64</v>
      </c>
      <c r="M8" s="24">
        <v>471.25822586157926</v>
      </c>
    </row>
    <row r="9" spans="1:13" ht="15" thickBot="1" x14ac:dyDescent="0.4">
      <c r="A9" s="7" t="s">
        <v>92</v>
      </c>
      <c r="B9" s="2" t="s">
        <v>114</v>
      </c>
      <c r="C9" s="2">
        <v>4216327000</v>
      </c>
      <c r="D9" s="2">
        <v>9267130</v>
      </c>
      <c r="E9" s="9">
        <f t="shared" si="0"/>
        <v>454.97656771837666</v>
      </c>
      <c r="F9" s="6">
        <f t="shared" si="1"/>
        <v>0.11876393517347392</v>
      </c>
      <c r="L9" s="22" t="s">
        <v>76</v>
      </c>
      <c r="M9" s="24">
        <v>465.95521424838682</v>
      </c>
    </row>
    <row r="10" spans="1:13" ht="15" thickBot="1" x14ac:dyDescent="0.4">
      <c r="A10" s="7" t="s">
        <v>96</v>
      </c>
      <c r="B10" s="2" t="s">
        <v>114</v>
      </c>
      <c r="C10" s="2">
        <v>494698000</v>
      </c>
      <c r="D10" s="2">
        <v>1095610</v>
      </c>
      <c r="E10" s="9">
        <f t="shared" si="0"/>
        <v>451.52745958872225</v>
      </c>
      <c r="F10" s="6">
        <f t="shared" si="1"/>
        <v>0.11028275601446395</v>
      </c>
      <c r="L10" s="22" t="s">
        <v>92</v>
      </c>
      <c r="M10" s="24">
        <v>454.97656771837666</v>
      </c>
    </row>
    <row r="11" spans="1:13" ht="15" thickBot="1" x14ac:dyDescent="0.4">
      <c r="A11" s="7" t="s">
        <v>95</v>
      </c>
      <c r="B11" s="2" t="s">
        <v>114</v>
      </c>
      <c r="C11" s="2">
        <v>2570716000</v>
      </c>
      <c r="D11" s="2">
        <v>5707390</v>
      </c>
      <c r="E11" s="9">
        <f t="shared" si="0"/>
        <v>450.4188429387163</v>
      </c>
      <c r="F11" s="6">
        <f t="shared" si="1"/>
        <v>0.10755672479888009</v>
      </c>
      <c r="L11" s="22" t="s">
        <v>96</v>
      </c>
      <c r="M11" s="24">
        <v>451.52745958872225</v>
      </c>
    </row>
    <row r="12" spans="1:13" ht="15" thickBot="1" x14ac:dyDescent="0.4">
      <c r="A12" s="7" t="s">
        <v>106</v>
      </c>
      <c r="B12" s="2" t="s">
        <v>114</v>
      </c>
      <c r="C12" s="2">
        <v>282678000</v>
      </c>
      <c r="D12" s="2">
        <v>645570</v>
      </c>
      <c r="E12" s="9">
        <f t="shared" si="0"/>
        <v>437.8735071332311</v>
      </c>
      <c r="F12" s="6">
        <f t="shared" si="1"/>
        <v>7.670839051168464E-2</v>
      </c>
      <c r="L12" s="22" t="s">
        <v>95</v>
      </c>
      <c r="M12" s="24">
        <v>450.4188429387163</v>
      </c>
    </row>
    <row r="13" spans="1:13" ht="14.5" thickBot="1" x14ac:dyDescent="0.35">
      <c r="A13" s="7" t="s">
        <v>85</v>
      </c>
      <c r="B13" s="2" t="s">
        <v>115</v>
      </c>
      <c r="C13" s="2">
        <v>2438962000</v>
      </c>
      <c r="D13" s="2">
        <v>5812069</v>
      </c>
      <c r="E13" s="9">
        <f t="shared" si="0"/>
        <v>419.63748193629499</v>
      </c>
      <c r="F13" s="6">
        <f t="shared" si="1"/>
        <v>3.1866944250928494E-2</v>
      </c>
    </row>
    <row r="14" spans="1:13" ht="29.5" thickBot="1" x14ac:dyDescent="0.4">
      <c r="A14" s="7" t="s">
        <v>101</v>
      </c>
      <c r="B14" s="2" t="s">
        <v>115</v>
      </c>
      <c r="C14" s="2">
        <v>578710000</v>
      </c>
      <c r="D14" s="2">
        <v>1441553</v>
      </c>
      <c r="E14" s="9">
        <f t="shared" si="0"/>
        <v>401.44899285700905</v>
      </c>
      <c r="F14" s="6">
        <f t="shared" si="1"/>
        <v>-1.2857613146051952E-2</v>
      </c>
      <c r="L14" s="18" t="s">
        <v>0</v>
      </c>
      <c r="M14" s="19" t="s">
        <v>122</v>
      </c>
    </row>
    <row r="15" spans="1:13" ht="15" thickBot="1" x14ac:dyDescent="0.4">
      <c r="A15" s="7" t="s">
        <v>80</v>
      </c>
      <c r="B15" s="2" t="s">
        <v>115</v>
      </c>
      <c r="C15" s="8">
        <v>2895752000</v>
      </c>
      <c r="D15" s="2">
        <v>7276316</v>
      </c>
      <c r="E15" s="9">
        <f t="shared" si="0"/>
        <v>397.96952193939899</v>
      </c>
      <c r="F15" s="6">
        <f t="shared" si="1"/>
        <v>-2.1413452836056848E-2</v>
      </c>
      <c r="L15" s="20" t="s">
        <v>97</v>
      </c>
      <c r="M15" s="21">
        <v>283.31581531115899</v>
      </c>
    </row>
    <row r="16" spans="1:13" ht="15" thickBot="1" x14ac:dyDescent="0.4">
      <c r="A16" s="7" t="s">
        <v>70</v>
      </c>
      <c r="B16" s="2" t="s">
        <v>115</v>
      </c>
      <c r="C16" s="2">
        <v>394105000</v>
      </c>
      <c r="D16" s="2">
        <v>1003384</v>
      </c>
      <c r="E16" s="9">
        <f t="shared" si="0"/>
        <v>392.77584653532449</v>
      </c>
      <c r="F16" s="6">
        <f t="shared" si="1"/>
        <v>-3.4184433025684267E-2</v>
      </c>
      <c r="L16" s="20" t="s">
        <v>104</v>
      </c>
      <c r="M16" s="21">
        <v>281.19655556800564</v>
      </c>
    </row>
    <row r="17" spans="1:13" ht="15" thickBot="1" x14ac:dyDescent="0.4">
      <c r="A17" s="12" t="s">
        <v>86</v>
      </c>
      <c r="B17" s="2" t="s">
        <v>113</v>
      </c>
      <c r="C17" s="2">
        <v>1147771000</v>
      </c>
      <c r="D17" s="2">
        <v>2934582</v>
      </c>
      <c r="E17" s="9">
        <f t="shared" si="0"/>
        <v>391.11907590246244</v>
      </c>
      <c r="F17" s="6">
        <f t="shared" si="1"/>
        <v>-3.825834663885281E-2</v>
      </c>
      <c r="L17" s="20" t="s">
        <v>88</v>
      </c>
      <c r="M17" s="21">
        <v>273.8000571826808</v>
      </c>
    </row>
    <row r="18" spans="1:13" ht="15" thickBot="1" x14ac:dyDescent="0.4">
      <c r="A18" s="12" t="s">
        <v>89</v>
      </c>
      <c r="B18" s="2" t="s">
        <v>113</v>
      </c>
      <c r="C18" s="2">
        <v>1650130000</v>
      </c>
      <c r="D18" s="2">
        <v>4246155</v>
      </c>
      <c r="E18" s="9">
        <f t="shared" si="0"/>
        <v>388.61746686119562</v>
      </c>
      <c r="F18" s="6">
        <f t="shared" si="1"/>
        <v>-4.4409674363944718E-2</v>
      </c>
      <c r="L18" s="20" t="s">
        <v>63</v>
      </c>
      <c r="M18" s="21">
        <v>271.98424876774925</v>
      </c>
    </row>
    <row r="19" spans="1:13" ht="15" thickBot="1" x14ac:dyDescent="0.4">
      <c r="A19" s="2" t="s">
        <v>77</v>
      </c>
      <c r="B19" s="2" t="s">
        <v>113</v>
      </c>
      <c r="C19" s="2">
        <v>4983900000</v>
      </c>
      <c r="D19" s="2">
        <v>12964056</v>
      </c>
      <c r="E19" s="9">
        <f t="shared" si="0"/>
        <v>384.43986974446887</v>
      </c>
      <c r="F19" s="6">
        <f t="shared" si="1"/>
        <v>-5.4682170403282639E-2</v>
      </c>
      <c r="L19" s="20" t="s">
        <v>59</v>
      </c>
      <c r="M19" s="21">
        <v>268.25775899036091</v>
      </c>
    </row>
    <row r="20" spans="1:13" ht="15" thickBot="1" x14ac:dyDescent="0.4">
      <c r="A20" s="2" t="s">
        <v>100</v>
      </c>
      <c r="B20" s="2" t="s">
        <v>113</v>
      </c>
      <c r="C20" s="2">
        <v>221969000</v>
      </c>
      <c r="D20" s="2">
        <v>578803</v>
      </c>
      <c r="E20" s="9">
        <f t="shared" si="0"/>
        <v>383.49663011421848</v>
      </c>
      <c r="F20" s="6">
        <f t="shared" si="1"/>
        <v>-5.7001548049130303E-2</v>
      </c>
      <c r="L20" s="20" t="s">
        <v>102</v>
      </c>
      <c r="M20" s="21">
        <v>266.80697129247523</v>
      </c>
    </row>
    <row r="21" spans="1:13" ht="15" thickBot="1" x14ac:dyDescent="0.4">
      <c r="A21" s="2" t="s">
        <v>91</v>
      </c>
      <c r="B21" s="2" t="s">
        <v>113</v>
      </c>
      <c r="C21" s="2">
        <v>1307453000</v>
      </c>
      <c r="D21" s="2">
        <v>3605597</v>
      </c>
      <c r="E21" s="9">
        <f t="shared" si="0"/>
        <v>362.61761921812115</v>
      </c>
      <c r="F21" s="6">
        <f t="shared" si="1"/>
        <v>-0.1083419599516315</v>
      </c>
      <c r="L21" s="20" t="s">
        <v>84</v>
      </c>
      <c r="M21" s="21">
        <v>263.040821465889</v>
      </c>
    </row>
    <row r="22" spans="1:13" ht="15" thickBot="1" x14ac:dyDescent="0.4">
      <c r="A22" s="2" t="s">
        <v>71</v>
      </c>
      <c r="B22" s="2" t="s">
        <v>113</v>
      </c>
      <c r="C22" s="2">
        <v>3797811000</v>
      </c>
      <c r="D22" s="2">
        <v>10551162</v>
      </c>
      <c r="E22" s="9">
        <f t="shared" si="0"/>
        <v>359.94244046295563</v>
      </c>
      <c r="F22" s="6">
        <f t="shared" si="1"/>
        <v>-0.11492008665918978</v>
      </c>
      <c r="L22" s="22" t="s">
        <v>105</v>
      </c>
      <c r="M22" s="23">
        <v>257.32685150705373</v>
      </c>
    </row>
    <row r="23" spans="1:13" ht="15" thickBot="1" x14ac:dyDescent="0.4">
      <c r="A23" s="2" t="s">
        <v>98</v>
      </c>
      <c r="B23" s="2" t="s">
        <v>113</v>
      </c>
      <c r="C23" s="2">
        <v>275627000</v>
      </c>
      <c r="D23" s="2">
        <v>774948</v>
      </c>
      <c r="E23" s="9">
        <f t="shared" si="0"/>
        <v>355.67160635294238</v>
      </c>
      <c r="F23" s="6">
        <f t="shared" si="1"/>
        <v>-0.12542184766053671</v>
      </c>
      <c r="L23" s="20" t="s">
        <v>72</v>
      </c>
      <c r="M23" s="21">
        <v>251.01553999898618</v>
      </c>
    </row>
    <row r="24" spans="1:13" ht="15" thickBot="1" x14ac:dyDescent="0.4">
      <c r="A24" s="2" t="s">
        <v>62</v>
      </c>
      <c r="B24" s="2" t="s">
        <v>113</v>
      </c>
      <c r="C24" s="2">
        <v>751505000</v>
      </c>
      <c r="D24" s="2">
        <v>2115877</v>
      </c>
      <c r="E24" s="9">
        <f t="shared" si="0"/>
        <v>355.174237443859</v>
      </c>
      <c r="F24" s="6">
        <f t="shared" si="1"/>
        <v>-0.12664485217865837</v>
      </c>
      <c r="L24" s="20" t="s">
        <v>69</v>
      </c>
      <c r="M24" s="21">
        <v>241.48589622031989</v>
      </c>
    </row>
    <row r="25" spans="1:13" ht="15" thickBot="1" x14ac:dyDescent="0.4">
      <c r="A25" s="2" t="s">
        <v>103</v>
      </c>
      <c r="B25" s="2" t="s">
        <v>113</v>
      </c>
      <c r="C25" s="2">
        <v>2463847000</v>
      </c>
      <c r="D25" s="2">
        <v>6984723</v>
      </c>
      <c r="E25" s="9">
        <f t="shared" si="0"/>
        <v>352.74799014935883</v>
      </c>
      <c r="F25" s="6">
        <f t="shared" si="1"/>
        <v>-0.13261086925182591</v>
      </c>
      <c r="L25" s="20" t="s">
        <v>73</v>
      </c>
      <c r="M25" s="21">
        <v>232.18330445288214</v>
      </c>
    </row>
    <row r="26" spans="1:13" x14ac:dyDescent="0.3">
      <c r="A26" s="2" t="s">
        <v>107</v>
      </c>
      <c r="B26" s="2" t="s">
        <v>113</v>
      </c>
      <c r="C26" s="2">
        <v>486148000</v>
      </c>
      <c r="D26" s="2">
        <v>1388992</v>
      </c>
      <c r="E26" s="9">
        <f t="shared" si="0"/>
        <v>350.00057595724093</v>
      </c>
      <c r="F26" s="6">
        <f t="shared" si="1"/>
        <v>-0.13936661917657336</v>
      </c>
    </row>
    <row r="27" spans="1:13" x14ac:dyDescent="0.3">
      <c r="A27" s="2" t="s">
        <v>93</v>
      </c>
      <c r="B27" s="2" t="s">
        <v>113</v>
      </c>
      <c r="C27" s="2">
        <v>2687422000</v>
      </c>
      <c r="D27" s="2">
        <v>7738692</v>
      </c>
      <c r="E27" s="9">
        <f t="shared" si="0"/>
        <v>347.27083078122246</v>
      </c>
      <c r="F27" s="6">
        <f t="shared" si="1"/>
        <v>-0.14607892190121294</v>
      </c>
    </row>
    <row r="28" spans="1:13" x14ac:dyDescent="0.3">
      <c r="A28" s="2" t="s">
        <v>60</v>
      </c>
      <c r="B28" s="2" t="s">
        <v>113</v>
      </c>
      <c r="C28" s="2">
        <v>1595832000</v>
      </c>
      <c r="D28" s="2">
        <v>4624047</v>
      </c>
      <c r="E28" s="9">
        <f t="shared" si="0"/>
        <v>345.11586928074047</v>
      </c>
      <c r="F28" s="6">
        <f t="shared" si="1"/>
        <v>-0.15137786118618921</v>
      </c>
    </row>
    <row r="29" spans="1:13" x14ac:dyDescent="0.3">
      <c r="A29" s="2" t="s">
        <v>65</v>
      </c>
      <c r="B29" s="2" t="s">
        <v>113</v>
      </c>
      <c r="C29" s="2">
        <v>2092906000</v>
      </c>
      <c r="D29" s="2">
        <v>6168187</v>
      </c>
      <c r="E29" s="9">
        <f t="shared" si="0"/>
        <v>339.30650935193762</v>
      </c>
      <c r="F29" s="6">
        <f t="shared" si="1"/>
        <v>-0.16566277789603068</v>
      </c>
    </row>
    <row r="30" spans="1:13" x14ac:dyDescent="0.3">
      <c r="A30" s="2" t="s">
        <v>94</v>
      </c>
      <c r="B30" s="2" t="s">
        <v>113</v>
      </c>
      <c r="C30" s="2">
        <v>374408000</v>
      </c>
      <c r="D30" s="2">
        <v>1104271</v>
      </c>
      <c r="E30" s="9">
        <f t="shared" si="0"/>
        <v>339.05445311884495</v>
      </c>
      <c r="F30" s="6">
        <f t="shared" si="1"/>
        <v>-0.16628257118480136</v>
      </c>
    </row>
    <row r="31" spans="1:13" x14ac:dyDescent="0.3">
      <c r="A31" s="2" t="s">
        <v>87</v>
      </c>
      <c r="B31" s="2" t="s">
        <v>113</v>
      </c>
      <c r="C31" s="2">
        <v>1991580000</v>
      </c>
      <c r="D31" s="2">
        <v>5895908</v>
      </c>
      <c r="E31" s="9">
        <f t="shared" si="0"/>
        <v>337.79020975225529</v>
      </c>
      <c r="F31" s="6">
        <f t="shared" si="1"/>
        <v>-0.16939128047705282</v>
      </c>
    </row>
    <row r="32" spans="1:13" x14ac:dyDescent="0.3">
      <c r="A32" s="2" t="s">
        <v>81</v>
      </c>
      <c r="B32" s="2" t="s">
        <v>113</v>
      </c>
      <c r="C32" s="2">
        <v>2911824000</v>
      </c>
      <c r="D32" s="2">
        <v>8642274</v>
      </c>
      <c r="E32" s="9">
        <f t="shared" si="0"/>
        <v>336.92798909175986</v>
      </c>
      <c r="F32" s="6">
        <f t="shared" si="1"/>
        <v>-0.17151143665116339</v>
      </c>
    </row>
    <row r="33" spans="1:7" x14ac:dyDescent="0.3">
      <c r="A33" s="2" t="s">
        <v>79</v>
      </c>
      <c r="B33" s="2" t="s">
        <v>113</v>
      </c>
      <c r="C33" s="2">
        <v>9828631000</v>
      </c>
      <c r="D33" s="2">
        <v>29527941</v>
      </c>
      <c r="E33" s="9">
        <f t="shared" si="0"/>
        <v>332.85866427327255</v>
      </c>
      <c r="F33" s="6">
        <f t="shared" si="1"/>
        <v>-0.18151769668837905</v>
      </c>
    </row>
    <row r="34" spans="1:7" x14ac:dyDescent="0.3">
      <c r="A34" s="2" t="s">
        <v>74</v>
      </c>
      <c r="B34" s="2" t="s">
        <v>113</v>
      </c>
      <c r="C34" s="2">
        <v>3919693000</v>
      </c>
      <c r="D34" s="2">
        <v>11780017</v>
      </c>
      <c r="E34" s="9">
        <f t="shared" ref="E34:E51" si="2">(C34/D34)</f>
        <v>332.74086107006468</v>
      </c>
      <c r="F34" s="6">
        <f t="shared" si="1"/>
        <v>-0.18180736869469313</v>
      </c>
    </row>
    <row r="35" spans="1:7" x14ac:dyDescent="0.3">
      <c r="A35" s="2" t="s">
        <v>66</v>
      </c>
      <c r="B35" s="2" t="s">
        <v>113</v>
      </c>
      <c r="C35" s="2">
        <v>2303915000</v>
      </c>
      <c r="D35" s="2">
        <v>6975218</v>
      </c>
      <c r="E35" s="9">
        <f t="shared" si="2"/>
        <v>330.30007090817804</v>
      </c>
      <c r="F35" s="6">
        <f t="shared" si="1"/>
        <v>-0.18780914592937314</v>
      </c>
    </row>
    <row r="36" spans="1:7" x14ac:dyDescent="0.3">
      <c r="A36" s="2" t="s">
        <v>68</v>
      </c>
      <c r="B36" s="2" t="s">
        <v>113</v>
      </c>
      <c r="C36" s="2">
        <v>3222875000</v>
      </c>
      <c r="D36" s="2">
        <v>10799566</v>
      </c>
      <c r="E36" s="9">
        <f t="shared" si="2"/>
        <v>298.42634416975648</v>
      </c>
      <c r="F36" s="6">
        <f t="shared" si="1"/>
        <v>-0.26618499753277475</v>
      </c>
    </row>
    <row r="37" spans="1:7" x14ac:dyDescent="0.3">
      <c r="A37" s="2" t="s">
        <v>99</v>
      </c>
      <c r="B37" s="2" t="s">
        <v>113</v>
      </c>
      <c r="C37" s="2">
        <v>946948000</v>
      </c>
      <c r="D37" s="2">
        <v>3193079</v>
      </c>
      <c r="E37" s="9">
        <f t="shared" si="2"/>
        <v>296.56265942684161</v>
      </c>
      <c r="F37" s="6">
        <f t="shared" si="1"/>
        <v>-0.27076770228032299</v>
      </c>
    </row>
    <row r="38" spans="1:7" x14ac:dyDescent="0.3">
      <c r="A38" s="2" t="s">
        <v>75</v>
      </c>
      <c r="B38" s="2" t="s">
        <v>113</v>
      </c>
      <c r="C38" s="2">
        <v>1179575000</v>
      </c>
      <c r="D38" s="2">
        <v>3986639</v>
      </c>
      <c r="E38" s="9">
        <f t="shared" si="2"/>
        <v>295.88207008460006</v>
      </c>
      <c r="F38" s="6">
        <f t="shared" si="1"/>
        <v>-0.27244123640227053</v>
      </c>
      <c r="G38" s="6"/>
    </row>
    <row r="39" spans="1:7" x14ac:dyDescent="0.3">
      <c r="A39" s="2" t="s">
        <v>78</v>
      </c>
      <c r="B39" s="2" t="s">
        <v>113</v>
      </c>
      <c r="C39" s="2">
        <v>2918862000</v>
      </c>
      <c r="D39" s="2">
        <v>10050811</v>
      </c>
      <c r="E39" s="9">
        <f t="shared" si="2"/>
        <v>290.41059472713198</v>
      </c>
      <c r="F39" s="6">
        <f t="shared" si="1"/>
        <v>-0.28589531236232008</v>
      </c>
    </row>
    <row r="40" spans="1:7" x14ac:dyDescent="0.3">
      <c r="A40" s="2" t="s">
        <v>61</v>
      </c>
      <c r="B40" s="2" t="s">
        <v>113</v>
      </c>
      <c r="C40" s="8">
        <v>1450860000</v>
      </c>
      <c r="D40" s="2">
        <v>5039877</v>
      </c>
      <c r="E40" s="9">
        <f t="shared" si="2"/>
        <v>287.87607316607131</v>
      </c>
      <c r="F40" s="6">
        <f t="shared" si="1"/>
        <v>-0.29212757027760994</v>
      </c>
    </row>
    <row r="41" spans="1:7" x14ac:dyDescent="0.3">
      <c r="A41" s="2" t="s">
        <v>97</v>
      </c>
      <c r="B41" s="2" t="s">
        <v>113</v>
      </c>
      <c r="C41" s="2">
        <v>556345000</v>
      </c>
      <c r="D41" s="2">
        <v>1963692</v>
      </c>
      <c r="E41" s="9">
        <f t="shared" si="2"/>
        <v>283.31581531115876</v>
      </c>
      <c r="F41" s="6">
        <f t="shared" si="1"/>
        <v>-0.30334100935372005</v>
      </c>
    </row>
    <row r="42" spans="1:7" x14ac:dyDescent="0.3">
      <c r="A42" s="2" t="s">
        <v>104</v>
      </c>
      <c r="B42" s="2" t="s">
        <v>113</v>
      </c>
      <c r="C42" s="2">
        <v>534533000</v>
      </c>
      <c r="D42" s="2">
        <v>1900923</v>
      </c>
      <c r="E42" s="9">
        <f t="shared" si="2"/>
        <v>281.19655556800564</v>
      </c>
      <c r="F42" s="6">
        <f t="shared" si="1"/>
        <v>-0.30855215985712858</v>
      </c>
    </row>
    <row r="43" spans="1:7" x14ac:dyDescent="0.3">
      <c r="A43" s="2" t="s">
        <v>88</v>
      </c>
      <c r="B43" s="2" t="s">
        <v>113</v>
      </c>
      <c r="C43" s="2">
        <v>245154000</v>
      </c>
      <c r="D43" s="2">
        <v>895376</v>
      </c>
      <c r="E43" s="9">
        <f t="shared" si="2"/>
        <v>273.8000571826808</v>
      </c>
      <c r="F43" s="6">
        <f t="shared" si="1"/>
        <v>-0.32673976824664969</v>
      </c>
    </row>
    <row r="44" spans="1:7" x14ac:dyDescent="0.3">
      <c r="A44" s="2" t="s">
        <v>63</v>
      </c>
      <c r="B44" s="2" t="s">
        <v>113</v>
      </c>
      <c r="C44" s="2">
        <v>1411790000</v>
      </c>
      <c r="D44" s="2">
        <v>5190705</v>
      </c>
      <c r="E44" s="9">
        <f t="shared" si="2"/>
        <v>271.98424876774925</v>
      </c>
      <c r="F44" s="6">
        <f t="shared" si="1"/>
        <v>-0.33120474757074397</v>
      </c>
    </row>
    <row r="45" spans="1:7" x14ac:dyDescent="0.3">
      <c r="A45" s="2" t="s">
        <v>59</v>
      </c>
      <c r="B45" s="2" t="s">
        <v>113</v>
      </c>
      <c r="C45" s="2">
        <v>791351000</v>
      </c>
      <c r="D45" s="2">
        <v>2949965</v>
      </c>
      <c r="E45" s="9">
        <f t="shared" si="2"/>
        <v>268.25775899036091</v>
      </c>
      <c r="F45" s="6">
        <f t="shared" si="1"/>
        <v>-0.34036799390811417</v>
      </c>
    </row>
    <row r="46" spans="1:7" x14ac:dyDescent="0.3">
      <c r="A46" s="2" t="s">
        <v>102</v>
      </c>
      <c r="B46" s="2" t="s">
        <v>113</v>
      </c>
      <c r="C46" s="2">
        <v>890595000</v>
      </c>
      <c r="D46" s="2">
        <v>3337975</v>
      </c>
      <c r="E46" s="9">
        <f t="shared" si="2"/>
        <v>266.80697129247523</v>
      </c>
      <c r="F46" s="6">
        <f t="shared" si="1"/>
        <v>-0.34393540609843282</v>
      </c>
    </row>
    <row r="47" spans="1:7" x14ac:dyDescent="0.3">
      <c r="A47" s="2" t="s">
        <v>84</v>
      </c>
      <c r="B47" s="2" t="s">
        <v>113</v>
      </c>
      <c r="C47" s="2">
        <v>468991000</v>
      </c>
      <c r="D47" s="2">
        <v>1782959</v>
      </c>
      <c r="E47" s="9">
        <f t="shared" si="2"/>
        <v>263.040821465889</v>
      </c>
      <c r="F47" s="6">
        <f t="shared" si="1"/>
        <v>-0.35319617445310675</v>
      </c>
    </row>
    <row r="48" spans="1:7" x14ac:dyDescent="0.3">
      <c r="A48" s="2" t="s">
        <v>105</v>
      </c>
      <c r="B48" s="2" t="s">
        <v>113</v>
      </c>
      <c r="C48" s="2">
        <v>353116000</v>
      </c>
      <c r="D48" s="2">
        <v>1372247</v>
      </c>
      <c r="E48" s="9">
        <f t="shared" si="2"/>
        <v>257.32685150705373</v>
      </c>
      <c r="F48" s="6">
        <f t="shared" si="1"/>
        <v>-0.36724653214222286</v>
      </c>
    </row>
    <row r="49" spans="1:7" x14ac:dyDescent="0.3">
      <c r="A49" s="2" t="s">
        <v>72</v>
      </c>
      <c r="B49" s="2" t="s">
        <v>113</v>
      </c>
      <c r="C49" s="2">
        <v>1708408000</v>
      </c>
      <c r="D49" s="2">
        <v>6805985</v>
      </c>
      <c r="E49" s="9">
        <f t="shared" si="2"/>
        <v>251.01553999898618</v>
      </c>
      <c r="F49" s="6">
        <f t="shared" si="1"/>
        <v>-0.38276572192001784</v>
      </c>
    </row>
    <row r="50" spans="1:7" x14ac:dyDescent="0.3">
      <c r="A50" s="2" t="s">
        <v>69</v>
      </c>
      <c r="B50" s="2" t="s">
        <v>113</v>
      </c>
      <c r="C50" s="8">
        <v>730710000</v>
      </c>
      <c r="D50" s="2">
        <v>3025891</v>
      </c>
      <c r="E50" s="9">
        <f t="shared" si="2"/>
        <v>241.48589622031989</v>
      </c>
      <c r="F50" s="6">
        <f t="shared" si="1"/>
        <v>-0.40619862491123598</v>
      </c>
    </row>
    <row r="51" spans="1:7" x14ac:dyDescent="0.3">
      <c r="A51" s="2" t="s">
        <v>73</v>
      </c>
      <c r="B51" s="2" t="s">
        <v>113</v>
      </c>
      <c r="C51" s="2">
        <v>1047006000</v>
      </c>
      <c r="D51" s="2">
        <v>4509394</v>
      </c>
      <c r="E51" s="9">
        <f t="shared" si="2"/>
        <v>232.18330445288214</v>
      </c>
      <c r="F51" s="6">
        <f t="shared" si="1"/>
        <v>-0.42907321870678511</v>
      </c>
      <c r="G51" s="26">
        <f>(E2-E51)/E51</f>
        <v>1.732894914976413</v>
      </c>
    </row>
  </sheetData>
  <autoFilter ref="A1:F1" xr:uid="{2FB9CDFF-370E-4692-8695-B91893A5FBC9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D67D-8468-4F5D-8042-B3B3E053E3C2}">
  <dimension ref="A1:L51"/>
  <sheetViews>
    <sheetView topLeftCell="A3" workbookViewId="0">
      <selection activeCell="H15" sqref="H15"/>
    </sheetView>
  </sheetViews>
  <sheetFormatPr defaultRowHeight="14" x14ac:dyDescent="0.3"/>
  <cols>
    <col min="1" max="1" width="8.7265625" style="2"/>
    <col min="2" max="2" width="10.54296875" style="2" customWidth="1"/>
    <col min="3" max="3" width="14" style="2" customWidth="1"/>
    <col min="4" max="4" width="15.453125" style="2" customWidth="1"/>
    <col min="5" max="5" width="16.1796875" style="2" customWidth="1"/>
    <col min="6" max="7" width="8.7265625" style="2"/>
    <col min="8" max="8" width="18.1796875" style="2" bestFit="1" customWidth="1"/>
    <col min="9" max="9" width="10.90625" style="2" customWidth="1"/>
    <col min="10" max="10" width="10.26953125" style="2" customWidth="1"/>
    <col min="11" max="16384" width="8.7265625" style="2"/>
  </cols>
  <sheetData>
    <row r="1" spans="1:12" x14ac:dyDescent="0.3">
      <c r="B1" s="1" t="s">
        <v>0</v>
      </c>
      <c r="C1" s="1" t="s">
        <v>117</v>
      </c>
      <c r="D1" s="1" t="s">
        <v>2</v>
      </c>
      <c r="E1" s="1" t="s">
        <v>118</v>
      </c>
    </row>
    <row r="2" spans="1:12" x14ac:dyDescent="0.3">
      <c r="A2" s="2" t="s">
        <v>56</v>
      </c>
      <c r="B2" s="2" t="s">
        <v>80</v>
      </c>
      <c r="C2" s="8">
        <v>2895752000</v>
      </c>
      <c r="D2" s="2">
        <v>7276316</v>
      </c>
      <c r="E2" s="9">
        <v>397.96952193939899</v>
      </c>
      <c r="H2" s="1" t="s">
        <v>117</v>
      </c>
      <c r="I2" s="1" t="s">
        <v>2</v>
      </c>
      <c r="J2" s="1" t="s">
        <v>118</v>
      </c>
    </row>
    <row r="3" spans="1:12" x14ac:dyDescent="0.3">
      <c r="A3" s="2" t="s">
        <v>56</v>
      </c>
      <c r="B3" s="2" t="s">
        <v>83</v>
      </c>
      <c r="C3" s="2">
        <v>24897685000</v>
      </c>
      <c r="D3" s="2">
        <v>39237836</v>
      </c>
      <c r="E3" s="9">
        <v>634.53257208170191</v>
      </c>
      <c r="G3" s="1" t="s">
        <v>56</v>
      </c>
      <c r="H3" s="10">
        <f>SUM(C2:C26)</f>
        <v>85793230000</v>
      </c>
      <c r="I3" s="2">
        <f>SUM(D2:D26)</f>
        <v>189108258</v>
      </c>
      <c r="J3" s="11">
        <f>H3/I3</f>
        <v>453.67257309302698</v>
      </c>
      <c r="L3" s="6">
        <f>(J3-J4)/J4</f>
        <v>0.32896823600327224</v>
      </c>
    </row>
    <row r="4" spans="1:12" x14ac:dyDescent="0.3">
      <c r="A4" s="2" t="s">
        <v>56</v>
      </c>
      <c r="B4" s="2" t="s">
        <v>85</v>
      </c>
      <c r="C4" s="2">
        <v>2438962000</v>
      </c>
      <c r="D4" s="2">
        <v>5812069</v>
      </c>
      <c r="E4" s="9">
        <v>419.63748193629499</v>
      </c>
      <c r="G4" s="1" t="s">
        <v>55</v>
      </c>
      <c r="H4" s="10">
        <f>SUM(C27:C51)</f>
        <v>48514234000</v>
      </c>
      <c r="I4" s="2">
        <f>SUM(D27:D51)</f>
        <v>142115437</v>
      </c>
      <c r="J4" s="11">
        <f>H4/I4</f>
        <v>341.37202139412904</v>
      </c>
    </row>
    <row r="5" spans="1:12" x14ac:dyDescent="0.3">
      <c r="A5" s="2" t="s">
        <v>56</v>
      </c>
      <c r="B5" s="2" t="s">
        <v>91</v>
      </c>
      <c r="C5" s="2">
        <v>1307453000</v>
      </c>
      <c r="D5" s="2">
        <v>3605597</v>
      </c>
      <c r="E5" s="9">
        <v>362.61761921812115</v>
      </c>
    </row>
    <row r="6" spans="1:12" x14ac:dyDescent="0.3">
      <c r="A6" s="2" t="s">
        <v>56</v>
      </c>
      <c r="B6" s="2" t="s">
        <v>70</v>
      </c>
      <c r="C6" s="2">
        <v>394105000</v>
      </c>
      <c r="D6" s="2">
        <v>1003384</v>
      </c>
      <c r="E6" s="9">
        <v>392.77584653532449</v>
      </c>
    </row>
    <row r="7" spans="1:12" x14ac:dyDescent="0.3">
      <c r="A7" s="2" t="s">
        <v>56</v>
      </c>
      <c r="B7" s="2" t="s">
        <v>68</v>
      </c>
      <c r="C7" s="2">
        <v>3222875000</v>
      </c>
      <c r="D7" s="2">
        <v>10799566</v>
      </c>
      <c r="E7" s="9">
        <v>298.42634416975648</v>
      </c>
    </row>
    <row r="8" spans="1:12" x14ac:dyDescent="0.3">
      <c r="A8" s="2" t="s">
        <v>56</v>
      </c>
      <c r="B8" s="2" t="s">
        <v>101</v>
      </c>
      <c r="C8" s="2">
        <v>578710000</v>
      </c>
      <c r="D8" s="2">
        <v>1441553</v>
      </c>
      <c r="E8" s="9">
        <v>401.44899285700905</v>
      </c>
    </row>
    <row r="9" spans="1:12" x14ac:dyDescent="0.3">
      <c r="A9" s="2" t="s">
        <v>56</v>
      </c>
      <c r="B9" s="2" t="s">
        <v>64</v>
      </c>
      <c r="C9" s="2">
        <v>5971534000</v>
      </c>
      <c r="D9" s="2">
        <v>12671469</v>
      </c>
      <c r="E9" s="9">
        <v>471.25822586157926</v>
      </c>
    </row>
    <row r="10" spans="1:12" x14ac:dyDescent="0.3">
      <c r="A10" s="2" t="s">
        <v>56</v>
      </c>
      <c r="B10" s="2" t="s">
        <v>103</v>
      </c>
      <c r="C10" s="2">
        <v>2463847000</v>
      </c>
      <c r="D10" s="2">
        <v>6984723</v>
      </c>
      <c r="E10" s="9">
        <v>352.74799014935883</v>
      </c>
    </row>
    <row r="11" spans="1:12" x14ac:dyDescent="0.3">
      <c r="A11" s="2" t="s">
        <v>56</v>
      </c>
      <c r="B11" s="2" t="s">
        <v>67</v>
      </c>
      <c r="C11" s="2">
        <v>3148625000</v>
      </c>
      <c r="D11" s="2">
        <v>6165129</v>
      </c>
      <c r="E11" s="9">
        <v>510.71518535946285</v>
      </c>
    </row>
    <row r="12" spans="1:12" x14ac:dyDescent="0.3">
      <c r="A12" s="2" t="s">
        <v>56</v>
      </c>
      <c r="B12" s="2" t="s">
        <v>105</v>
      </c>
      <c r="C12" s="2">
        <v>353116000</v>
      </c>
      <c r="D12" s="2">
        <v>1372247</v>
      </c>
      <c r="E12" s="9">
        <v>257.32685150705373</v>
      </c>
    </row>
    <row r="13" spans="1:12" x14ac:dyDescent="0.3">
      <c r="A13" s="2" t="s">
        <v>56</v>
      </c>
      <c r="B13" s="2" t="s">
        <v>78</v>
      </c>
      <c r="C13" s="2">
        <v>2918862000</v>
      </c>
      <c r="D13" s="2">
        <v>10050811</v>
      </c>
      <c r="E13" s="9">
        <v>290.41059472713198</v>
      </c>
    </row>
    <row r="14" spans="1:12" x14ac:dyDescent="0.3">
      <c r="A14" s="2" t="s">
        <v>56</v>
      </c>
      <c r="B14" s="2" t="s">
        <v>95</v>
      </c>
      <c r="C14" s="2">
        <v>2570716000</v>
      </c>
      <c r="D14" s="2">
        <v>5707390</v>
      </c>
      <c r="E14" s="9">
        <v>450.4188429387163</v>
      </c>
    </row>
    <row r="15" spans="1:12" x14ac:dyDescent="0.3">
      <c r="A15" s="2" t="s">
        <v>56</v>
      </c>
      <c r="B15" s="2" t="s">
        <v>107</v>
      </c>
      <c r="C15" s="2">
        <v>486148000</v>
      </c>
      <c r="D15" s="2">
        <v>1388992</v>
      </c>
      <c r="E15" s="9">
        <v>350.00057595724093</v>
      </c>
    </row>
    <row r="16" spans="1:12" x14ac:dyDescent="0.3">
      <c r="A16" s="2" t="s">
        <v>56</v>
      </c>
      <c r="B16" s="2" t="s">
        <v>92</v>
      </c>
      <c r="C16" s="2">
        <v>4216327000</v>
      </c>
      <c r="D16" s="2">
        <v>9267130</v>
      </c>
      <c r="E16" s="9">
        <v>454.97656771837666</v>
      </c>
    </row>
    <row r="17" spans="1:5" x14ac:dyDescent="0.3">
      <c r="A17" s="2" t="s">
        <v>56</v>
      </c>
      <c r="B17" s="2" t="s">
        <v>62</v>
      </c>
      <c r="C17" s="2">
        <v>751505000</v>
      </c>
      <c r="D17" s="2">
        <v>2115877</v>
      </c>
      <c r="E17" s="9">
        <v>355.174237443859</v>
      </c>
    </row>
    <row r="18" spans="1:5" x14ac:dyDescent="0.3">
      <c r="A18" s="2" t="s">
        <v>56</v>
      </c>
      <c r="B18" s="2" t="s">
        <v>76</v>
      </c>
      <c r="C18" s="2">
        <v>1464959000</v>
      </c>
      <c r="D18" s="2">
        <v>3143991</v>
      </c>
      <c r="E18" s="9">
        <v>465.95521424838682</v>
      </c>
    </row>
    <row r="19" spans="1:5" x14ac:dyDescent="0.3">
      <c r="A19" s="2" t="s">
        <v>56</v>
      </c>
      <c r="B19" s="2" t="s">
        <v>90</v>
      </c>
      <c r="C19" s="2">
        <v>10709817000</v>
      </c>
      <c r="D19" s="2">
        <v>19835913</v>
      </c>
      <c r="E19" s="9">
        <v>539.9205471409357</v>
      </c>
    </row>
    <row r="20" spans="1:5" x14ac:dyDescent="0.3">
      <c r="A20" s="2" t="s">
        <v>56</v>
      </c>
      <c r="B20" s="2" t="s">
        <v>89</v>
      </c>
      <c r="C20" s="2">
        <v>1650130000</v>
      </c>
      <c r="D20" s="2">
        <v>4246155</v>
      </c>
      <c r="E20" s="9">
        <v>388.61746686119562</v>
      </c>
    </row>
    <row r="21" spans="1:5" x14ac:dyDescent="0.3">
      <c r="A21" s="2" t="s">
        <v>56</v>
      </c>
      <c r="B21" s="2" t="s">
        <v>77</v>
      </c>
      <c r="C21" s="2">
        <v>4983900000</v>
      </c>
      <c r="D21" s="2">
        <v>12964056</v>
      </c>
      <c r="E21" s="9">
        <v>384.43986974446887</v>
      </c>
    </row>
    <row r="22" spans="1:5" x14ac:dyDescent="0.3">
      <c r="A22" s="2" t="s">
        <v>56</v>
      </c>
      <c r="B22" s="2" t="s">
        <v>96</v>
      </c>
      <c r="C22" s="2">
        <v>494698000</v>
      </c>
      <c r="D22" s="2">
        <v>1095610</v>
      </c>
      <c r="E22" s="9">
        <v>451.52745958872225</v>
      </c>
    </row>
    <row r="23" spans="1:5" x14ac:dyDescent="0.3">
      <c r="A23" s="2" t="s">
        <v>56</v>
      </c>
      <c r="B23" s="2" t="s">
        <v>81</v>
      </c>
      <c r="C23" s="2">
        <v>2911824000</v>
      </c>
      <c r="D23" s="2">
        <v>8642274</v>
      </c>
      <c r="E23" s="9">
        <v>336.92798909175986</v>
      </c>
    </row>
    <row r="24" spans="1:5" x14ac:dyDescent="0.3">
      <c r="A24" s="2" t="s">
        <v>56</v>
      </c>
      <c r="B24" s="2" t="s">
        <v>106</v>
      </c>
      <c r="C24" s="2">
        <v>282678000</v>
      </c>
      <c r="D24" s="2">
        <v>645570</v>
      </c>
      <c r="E24" s="9">
        <v>437.8735071332311</v>
      </c>
    </row>
    <row r="25" spans="1:5" x14ac:dyDescent="0.3">
      <c r="A25" s="2" t="s">
        <v>56</v>
      </c>
      <c r="B25" s="2" t="s">
        <v>93</v>
      </c>
      <c r="C25" s="2">
        <v>2687422000</v>
      </c>
      <c r="D25" s="2">
        <v>7738692</v>
      </c>
      <c r="E25" s="9">
        <v>347.27083078122246</v>
      </c>
    </row>
    <row r="26" spans="1:5" x14ac:dyDescent="0.3">
      <c r="A26" s="2" t="s">
        <v>56</v>
      </c>
      <c r="B26" s="2" t="s">
        <v>87</v>
      </c>
      <c r="C26" s="2">
        <v>1991580000</v>
      </c>
      <c r="D26" s="2">
        <v>5895908</v>
      </c>
      <c r="E26" s="9">
        <v>337.79020975225529</v>
      </c>
    </row>
    <row r="27" spans="1:5" x14ac:dyDescent="0.3">
      <c r="A27" s="2" t="s">
        <v>55</v>
      </c>
      <c r="B27" s="2" t="s">
        <v>108</v>
      </c>
      <c r="C27" s="8">
        <v>405508000</v>
      </c>
      <c r="D27" s="2">
        <v>732673</v>
      </c>
      <c r="E27" s="9">
        <v>553.46382356112485</v>
      </c>
    </row>
    <row r="28" spans="1:5" x14ac:dyDescent="0.3">
      <c r="A28" s="2" t="s">
        <v>55</v>
      </c>
      <c r="B28" s="2" t="s">
        <v>61</v>
      </c>
      <c r="C28" s="8">
        <v>1450860000</v>
      </c>
      <c r="D28" s="2">
        <v>5039877</v>
      </c>
      <c r="E28" s="9">
        <v>287.87607316607131</v>
      </c>
    </row>
    <row r="29" spans="1:5" x14ac:dyDescent="0.3">
      <c r="A29" s="2" t="s">
        <v>55</v>
      </c>
      <c r="B29" s="2" t="s">
        <v>69</v>
      </c>
      <c r="C29" s="8">
        <v>730710000</v>
      </c>
      <c r="D29" s="2">
        <v>3025891</v>
      </c>
      <c r="E29" s="9">
        <v>241.48589622031989</v>
      </c>
    </row>
    <row r="30" spans="1:5" x14ac:dyDescent="0.3">
      <c r="A30" s="2" t="s">
        <v>55</v>
      </c>
      <c r="B30" s="2" t="s">
        <v>82</v>
      </c>
      <c r="C30" s="2">
        <v>10587897000</v>
      </c>
      <c r="D30" s="2">
        <v>21781128</v>
      </c>
      <c r="E30" s="9">
        <v>486.10416320036319</v>
      </c>
    </row>
    <row r="31" spans="1:5" x14ac:dyDescent="0.3">
      <c r="A31" s="2" t="s">
        <v>55</v>
      </c>
      <c r="B31" s="2" t="s">
        <v>99</v>
      </c>
      <c r="C31" s="2">
        <v>946948000</v>
      </c>
      <c r="D31" s="2">
        <v>3193079</v>
      </c>
      <c r="E31" s="9">
        <v>296.56265942684161</v>
      </c>
    </row>
    <row r="32" spans="1:5" x14ac:dyDescent="0.3">
      <c r="A32" s="2" t="s">
        <v>55</v>
      </c>
      <c r="B32" s="2" t="s">
        <v>104</v>
      </c>
      <c r="C32" s="2">
        <v>534533000</v>
      </c>
      <c r="D32" s="2">
        <v>1900923</v>
      </c>
      <c r="E32" s="9">
        <v>281.19655556800564</v>
      </c>
    </row>
    <row r="33" spans="1:5" x14ac:dyDescent="0.3">
      <c r="A33" s="2" t="s">
        <v>55</v>
      </c>
      <c r="B33" s="2" t="s">
        <v>72</v>
      </c>
      <c r="C33" s="2">
        <v>1708408000</v>
      </c>
      <c r="D33" s="2">
        <v>6805985</v>
      </c>
      <c r="E33" s="9">
        <v>251.01553999898618</v>
      </c>
    </row>
    <row r="34" spans="1:5" x14ac:dyDescent="0.3">
      <c r="A34" s="2" t="s">
        <v>55</v>
      </c>
      <c r="B34" s="2" t="s">
        <v>86</v>
      </c>
      <c r="C34" s="2">
        <v>1147771000</v>
      </c>
      <c r="D34" s="2">
        <v>2934582</v>
      </c>
      <c r="E34" s="9">
        <v>391.11907590246244</v>
      </c>
    </row>
    <row r="35" spans="1:5" x14ac:dyDescent="0.3">
      <c r="A35" s="2" t="s">
        <v>55</v>
      </c>
      <c r="B35" s="2" t="s">
        <v>73</v>
      </c>
      <c r="C35" s="2">
        <v>1047006000</v>
      </c>
      <c r="D35" s="2">
        <v>4509394</v>
      </c>
      <c r="E35" s="9">
        <v>232.18330445288214</v>
      </c>
    </row>
    <row r="36" spans="1:5" x14ac:dyDescent="0.3">
      <c r="A36" s="2" t="s">
        <v>55</v>
      </c>
      <c r="B36" s="2" t="s">
        <v>60</v>
      </c>
      <c r="C36" s="2">
        <v>1595832000</v>
      </c>
      <c r="D36" s="2">
        <v>4624047</v>
      </c>
      <c r="E36" s="9">
        <v>345.11586928074047</v>
      </c>
    </row>
    <row r="37" spans="1:5" x14ac:dyDescent="0.3">
      <c r="A37" s="2" t="s">
        <v>55</v>
      </c>
      <c r="B37" s="2" t="s">
        <v>65</v>
      </c>
      <c r="C37" s="2">
        <v>2092906000</v>
      </c>
      <c r="D37" s="2">
        <v>6168187</v>
      </c>
      <c r="E37" s="9">
        <v>339.30650935193762</v>
      </c>
    </row>
    <row r="38" spans="1:5" x14ac:dyDescent="0.3">
      <c r="A38" s="2" t="s">
        <v>55</v>
      </c>
      <c r="B38" s="2" t="s">
        <v>59</v>
      </c>
      <c r="C38" s="2">
        <v>791351000</v>
      </c>
      <c r="D38" s="2">
        <v>2949965</v>
      </c>
      <c r="E38" s="9">
        <v>268.25775899036091</v>
      </c>
    </row>
    <row r="39" spans="1:5" x14ac:dyDescent="0.3">
      <c r="A39" s="2" t="s">
        <v>55</v>
      </c>
      <c r="B39" s="2" t="s">
        <v>94</v>
      </c>
      <c r="C39" s="2">
        <v>374408000</v>
      </c>
      <c r="D39" s="2">
        <v>1104271</v>
      </c>
      <c r="E39" s="9">
        <v>339.05445311884495</v>
      </c>
    </row>
    <row r="40" spans="1:5" x14ac:dyDescent="0.3">
      <c r="A40" s="2" t="s">
        <v>55</v>
      </c>
      <c r="B40" s="2" t="s">
        <v>71</v>
      </c>
      <c r="C40" s="2">
        <v>3797811000</v>
      </c>
      <c r="D40" s="2">
        <v>10551162</v>
      </c>
      <c r="E40" s="9">
        <v>359.94244046295563</v>
      </c>
    </row>
    <row r="41" spans="1:5" x14ac:dyDescent="0.3">
      <c r="A41" s="2" t="s">
        <v>55</v>
      </c>
      <c r="B41" s="2" t="s">
        <v>98</v>
      </c>
      <c r="C41" s="2">
        <v>275627000</v>
      </c>
      <c r="D41" s="2">
        <v>774948</v>
      </c>
      <c r="E41" s="9">
        <v>355.67160635294238</v>
      </c>
    </row>
    <row r="42" spans="1:5" x14ac:dyDescent="0.3">
      <c r="A42" s="2" t="s">
        <v>55</v>
      </c>
      <c r="B42" s="2" t="s">
        <v>97</v>
      </c>
      <c r="C42" s="2">
        <v>556345000</v>
      </c>
      <c r="D42" s="2">
        <v>1963692</v>
      </c>
      <c r="E42" s="9">
        <v>283.31581531115876</v>
      </c>
    </row>
    <row r="43" spans="1:5" x14ac:dyDescent="0.3">
      <c r="A43" s="2" t="s">
        <v>55</v>
      </c>
      <c r="B43" s="2" t="s">
        <v>74</v>
      </c>
      <c r="C43" s="2">
        <v>3919693000</v>
      </c>
      <c r="D43" s="2">
        <v>11780017</v>
      </c>
      <c r="E43" s="9">
        <v>332.74086107006468</v>
      </c>
    </row>
    <row r="44" spans="1:5" x14ac:dyDescent="0.3">
      <c r="A44" s="2" t="s">
        <v>55</v>
      </c>
      <c r="B44" s="2" t="s">
        <v>75</v>
      </c>
      <c r="C44" s="2">
        <v>1179575000</v>
      </c>
      <c r="D44" s="2">
        <v>3986639</v>
      </c>
      <c r="E44" s="9">
        <v>295.88207008460006</v>
      </c>
    </row>
    <row r="45" spans="1:5" x14ac:dyDescent="0.3">
      <c r="A45" s="2" t="s">
        <v>55</v>
      </c>
      <c r="B45" s="2" t="s">
        <v>63</v>
      </c>
      <c r="C45" s="2">
        <v>1411790000</v>
      </c>
      <c r="D45" s="2">
        <v>5190705</v>
      </c>
      <c r="E45" s="9">
        <v>271.98424876774925</v>
      </c>
    </row>
    <row r="46" spans="1:5" x14ac:dyDescent="0.3">
      <c r="A46" s="2" t="s">
        <v>55</v>
      </c>
      <c r="B46" s="2" t="s">
        <v>88</v>
      </c>
      <c r="C46" s="2">
        <v>245154000</v>
      </c>
      <c r="D46" s="2">
        <v>895376</v>
      </c>
      <c r="E46" s="9">
        <v>273.8000571826808</v>
      </c>
    </row>
    <row r="47" spans="1:5" x14ac:dyDescent="0.3">
      <c r="A47" s="2" t="s">
        <v>55</v>
      </c>
      <c r="B47" s="2" t="s">
        <v>66</v>
      </c>
      <c r="C47" s="2">
        <v>2303915000</v>
      </c>
      <c r="D47" s="2">
        <v>6975218</v>
      </c>
      <c r="E47" s="9">
        <v>330.30007090817804</v>
      </c>
    </row>
    <row r="48" spans="1:5" x14ac:dyDescent="0.3">
      <c r="A48" s="2" t="s">
        <v>55</v>
      </c>
      <c r="B48" s="2" t="s">
        <v>79</v>
      </c>
      <c r="C48" s="2">
        <v>9828631000</v>
      </c>
      <c r="D48" s="2">
        <v>29527941</v>
      </c>
      <c r="E48" s="9">
        <v>332.85866427327255</v>
      </c>
    </row>
    <row r="49" spans="1:5" x14ac:dyDescent="0.3">
      <c r="A49" s="2" t="s">
        <v>55</v>
      </c>
      <c r="B49" s="2" t="s">
        <v>102</v>
      </c>
      <c r="C49" s="2">
        <v>890595000</v>
      </c>
      <c r="D49" s="2">
        <v>3337975</v>
      </c>
      <c r="E49" s="9">
        <v>266.80697129247523</v>
      </c>
    </row>
    <row r="50" spans="1:5" x14ac:dyDescent="0.3">
      <c r="A50" s="2" t="s">
        <v>55</v>
      </c>
      <c r="B50" s="2" t="s">
        <v>84</v>
      </c>
      <c r="C50" s="2">
        <v>468991000</v>
      </c>
      <c r="D50" s="2">
        <v>1782959</v>
      </c>
      <c r="E50" s="9">
        <v>263.040821465889</v>
      </c>
    </row>
    <row r="51" spans="1:5" x14ac:dyDescent="0.3">
      <c r="A51" s="2" t="s">
        <v>55</v>
      </c>
      <c r="B51" s="2" t="s">
        <v>100</v>
      </c>
      <c r="C51" s="2">
        <v>221969000</v>
      </c>
      <c r="D51" s="2">
        <v>578803</v>
      </c>
      <c r="E51" s="9">
        <v>383.49663011421848</v>
      </c>
    </row>
  </sheetData>
  <autoFilter ref="A1:E1" xr:uid="{5414D67D-8468-4F5D-8042-B3B3E053E3C2}">
    <sortState xmlns:xlrd2="http://schemas.microsoft.com/office/spreadsheetml/2017/richdata2" ref="A2:E5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</vt:lpstr>
      <vt:lpstr>21 Red v Blue</vt:lpstr>
      <vt:lpstr>2022</vt:lpstr>
      <vt:lpstr>22 Red v Blue</vt:lpstr>
      <vt:lpstr>State + Local Spending</vt:lpstr>
      <vt:lpstr>Spending Red Blue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Kylie Murdock</cp:lastModifiedBy>
  <dcterms:modified xsi:type="dcterms:W3CDTF">2024-02-12T18:23:53Z</dcterms:modified>
</cp:coreProperties>
</file>