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irdwaydc-my.sharepoint.com/personal/kmurdock_thirdway_org/Documents/Documents/SP&amp;P/Writing/Crime/2000-2020/"/>
    </mc:Choice>
  </mc:AlternateContent>
  <xr:revisionPtr revIDLastSave="0" documentId="8_{FA134F77-D5D8-49F1-92D5-8CAD4DB746FE}" xr6:coauthVersionLast="47" xr6:coauthVersionMax="47" xr10:uidLastSave="{00000000-0000-0000-0000-000000000000}"/>
  <bookViews>
    <workbookView xWindow="60" yWindow="260" windowWidth="19200" windowHeight="10200" xr2:uid="{1F72E221-FE7B-4808-B2A8-11ED7F44EE52}"/>
  </bookViews>
  <sheets>
    <sheet name="Blue vs. Red" sheetId="1" r:id="rId1"/>
    <sheet name="Minus county with largest city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W57" i="2" l="1"/>
  <c r="DX57" i="2" s="1"/>
  <c r="DV57" i="2"/>
  <c r="DQ57" i="2"/>
  <c r="DR57" i="2" s="1"/>
  <c r="DP57" i="2"/>
  <c r="DK57" i="2"/>
  <c r="DL57" i="2" s="1"/>
  <c r="DJ57" i="2"/>
  <c r="DE57" i="2"/>
  <c r="DF57" i="2" s="1"/>
  <c r="DD57" i="2"/>
  <c r="CY57" i="2"/>
  <c r="CZ57" i="2" s="1"/>
  <c r="CX57" i="2"/>
  <c r="CT57" i="2"/>
  <c r="CS57" i="2"/>
  <c r="CR57" i="2"/>
  <c r="CM57" i="2"/>
  <c r="CN57" i="2" s="1"/>
  <c r="CL57" i="2"/>
  <c r="CH57" i="2"/>
  <c r="CG57" i="2"/>
  <c r="CF57" i="2"/>
  <c r="CA57" i="2"/>
  <c r="CB57" i="2" s="1"/>
  <c r="BZ57" i="2"/>
  <c r="BU57" i="2"/>
  <c r="BV57" i="2" s="1"/>
  <c r="BT57" i="2"/>
  <c r="BO57" i="2"/>
  <c r="BP57" i="2" s="1"/>
  <c r="BN57" i="2"/>
  <c r="BI57" i="2"/>
  <c r="BJ57" i="2" s="1"/>
  <c r="BH57" i="2"/>
  <c r="BC57" i="2"/>
  <c r="BD57" i="2" s="1"/>
  <c r="BB57" i="2"/>
  <c r="AX57" i="2"/>
  <c r="AW57" i="2"/>
  <c r="AV57" i="2"/>
  <c r="AQ57" i="2"/>
  <c r="AR57" i="2" s="1"/>
  <c r="AP57" i="2"/>
  <c r="AL57" i="2"/>
  <c r="AK57" i="2"/>
  <c r="AJ57" i="2"/>
  <c r="AE57" i="2"/>
  <c r="AF57" i="2" s="1"/>
  <c r="AD57" i="2"/>
  <c r="Y57" i="2"/>
  <c r="Z57" i="2" s="1"/>
  <c r="X57" i="2"/>
  <c r="S57" i="2"/>
  <c r="T57" i="2" s="1"/>
  <c r="R57" i="2"/>
  <c r="M57" i="2"/>
  <c r="N57" i="2" s="1"/>
  <c r="L57" i="2"/>
  <c r="G57" i="2"/>
  <c r="H57" i="2" s="1"/>
  <c r="F57" i="2"/>
  <c r="DX55" i="2"/>
  <c r="DX54" i="2"/>
  <c r="DX53" i="2"/>
  <c r="DX52" i="2"/>
  <c r="DX51" i="2"/>
  <c r="DX50" i="2"/>
  <c r="DX49" i="2"/>
  <c r="DX48" i="2"/>
  <c r="DX47" i="2"/>
  <c r="DX46" i="2"/>
  <c r="DX45" i="2"/>
  <c r="DX44" i="2"/>
  <c r="DX43" i="2"/>
  <c r="DX42" i="2"/>
  <c r="DX41" i="2"/>
  <c r="DX40" i="2"/>
  <c r="DX39" i="2"/>
  <c r="DX38" i="2"/>
  <c r="DX37" i="2"/>
  <c r="DX36" i="2"/>
  <c r="DX35" i="2"/>
  <c r="DX34" i="2"/>
  <c r="DX33" i="2"/>
  <c r="DX32" i="2"/>
  <c r="DX31" i="2"/>
  <c r="BP26" i="2"/>
  <c r="AR26" i="2"/>
  <c r="DW25" i="2"/>
  <c r="DX25" i="2" s="1"/>
  <c r="DV25" i="2"/>
  <c r="DR25" i="2"/>
  <c r="DQ25" i="2"/>
  <c r="DP25" i="2"/>
  <c r="DL25" i="2"/>
  <c r="DK25" i="2"/>
  <c r="DJ25" i="2"/>
  <c r="DE25" i="2"/>
  <c r="DF25" i="2" s="1"/>
  <c r="DD25" i="2"/>
  <c r="CY25" i="2"/>
  <c r="CX25" i="2"/>
  <c r="CZ25" i="2" s="1"/>
  <c r="CS25" i="2"/>
  <c r="CT25" i="2" s="1"/>
  <c r="CR25" i="2"/>
  <c r="CM25" i="2"/>
  <c r="CN25" i="2" s="1"/>
  <c r="CL25" i="2"/>
  <c r="CH25" i="2"/>
  <c r="CB25" i="2"/>
  <c r="CA25" i="2"/>
  <c r="BZ25" i="2"/>
  <c r="BU25" i="2"/>
  <c r="BV25" i="2" s="1"/>
  <c r="BT25" i="2"/>
  <c r="BO25" i="2"/>
  <c r="BN25" i="2"/>
  <c r="BP25" i="2" s="1"/>
  <c r="BI25" i="2"/>
  <c r="BJ25" i="2" s="1"/>
  <c r="BH25" i="2"/>
  <c r="BC25" i="2"/>
  <c r="BD25" i="2" s="1"/>
  <c r="BB25" i="2"/>
  <c r="AX25" i="2"/>
  <c r="AR25" i="2"/>
  <c r="AQ25" i="2"/>
  <c r="AP25" i="2"/>
  <c r="AK25" i="2"/>
  <c r="AL25" i="2" s="1"/>
  <c r="AJ25" i="2"/>
  <c r="AE25" i="2"/>
  <c r="AD25" i="2"/>
  <c r="AF25" i="2" s="1"/>
  <c r="Y25" i="2"/>
  <c r="Z25" i="2" s="1"/>
  <c r="X25" i="2"/>
  <c r="S25" i="2"/>
  <c r="T25" i="2" s="1"/>
  <c r="R25" i="2"/>
  <c r="N25" i="2"/>
  <c r="H25" i="2"/>
  <c r="G25" i="2"/>
  <c r="F25" i="2"/>
  <c r="DW24" i="2"/>
  <c r="DX24" i="2" s="1"/>
  <c r="DV24" i="2"/>
  <c r="DQ24" i="2"/>
  <c r="DP24" i="2"/>
  <c r="DR24" i="2" s="1"/>
  <c r="DK24" i="2"/>
  <c r="DL24" i="2" s="1"/>
  <c r="DJ24" i="2"/>
  <c r="DE24" i="2"/>
  <c r="DF24" i="2" s="1"/>
  <c r="DD24" i="2"/>
  <c r="CY24" i="2"/>
  <c r="CZ24" i="2" s="1"/>
  <c r="CX24" i="2"/>
  <c r="CS24" i="2"/>
  <c r="CT24" i="2" s="1"/>
  <c r="CR24" i="2"/>
  <c r="CN24" i="2"/>
  <c r="CM24" i="2"/>
  <c r="CL24" i="2"/>
  <c r="CH24" i="2"/>
  <c r="CG24" i="2"/>
  <c r="CF24" i="2"/>
  <c r="CA24" i="2"/>
  <c r="CB24" i="2" s="1"/>
  <c r="BZ24" i="2"/>
  <c r="BU24" i="2"/>
  <c r="BT24" i="2"/>
  <c r="BV24" i="2" s="1"/>
  <c r="BO24" i="2"/>
  <c r="BP24" i="2" s="1"/>
  <c r="BN24" i="2"/>
  <c r="BI24" i="2"/>
  <c r="BJ24" i="2" s="1"/>
  <c r="BH24" i="2"/>
  <c r="BC24" i="2"/>
  <c r="BD24" i="2" s="1"/>
  <c r="BB24" i="2"/>
  <c r="AW24" i="2"/>
  <c r="AX24" i="2" s="1"/>
  <c r="AV24" i="2"/>
  <c r="AR24" i="2"/>
  <c r="AQ24" i="2"/>
  <c r="AP24" i="2"/>
  <c r="AL24" i="2"/>
  <c r="AK24" i="2"/>
  <c r="AJ24" i="2"/>
  <c r="AE24" i="2"/>
  <c r="AF24" i="2" s="1"/>
  <c r="AD24" i="2"/>
  <c r="Y24" i="2"/>
  <c r="Z24" i="2" s="1"/>
  <c r="X24" i="2"/>
  <c r="S24" i="2"/>
  <c r="T24" i="2" s="1"/>
  <c r="R24" i="2"/>
  <c r="M24" i="2"/>
  <c r="L24" i="2"/>
  <c r="G24" i="2"/>
  <c r="H24" i="2" s="1"/>
  <c r="F24" i="2"/>
  <c r="DW23" i="2"/>
  <c r="DX23" i="2" s="1"/>
  <c r="DV23" i="2"/>
  <c r="DQ23" i="2"/>
  <c r="DR23" i="2" s="1"/>
  <c r="DP23" i="2"/>
  <c r="DK23" i="2"/>
  <c r="DL23" i="2" s="1"/>
  <c r="DJ23" i="2"/>
  <c r="DE23" i="2"/>
  <c r="DF23" i="2" s="1"/>
  <c r="DD23" i="2"/>
  <c r="CZ23" i="2"/>
  <c r="CY23" i="2"/>
  <c r="CX23" i="2"/>
  <c r="CT23" i="2"/>
  <c r="CS23" i="2"/>
  <c r="CR23" i="2"/>
  <c r="CM23" i="2"/>
  <c r="CN23" i="2" s="1"/>
  <c r="CL23" i="2"/>
  <c r="CG23" i="2"/>
  <c r="CH23" i="2" s="1"/>
  <c r="CF23" i="2"/>
  <c r="CA23" i="2"/>
  <c r="BZ23" i="2"/>
  <c r="CB23" i="2" s="1"/>
  <c r="BU23" i="2"/>
  <c r="BV23" i="2" s="1"/>
  <c r="BT23" i="2"/>
  <c r="BO23" i="2"/>
  <c r="BP23" i="2" s="1"/>
  <c r="BN23" i="2"/>
  <c r="BI23" i="2"/>
  <c r="BJ23" i="2" s="1"/>
  <c r="BH23" i="2"/>
  <c r="BD23" i="2"/>
  <c r="BC23" i="2"/>
  <c r="BB23" i="2"/>
  <c r="AX23" i="2"/>
  <c r="AW23" i="2"/>
  <c r="AV23" i="2"/>
  <c r="AQ23" i="2"/>
  <c r="AR23" i="2" s="1"/>
  <c r="AP23" i="2"/>
  <c r="AK23" i="2"/>
  <c r="AL23" i="2" s="1"/>
  <c r="AJ23" i="2"/>
  <c r="AE23" i="2"/>
  <c r="AD23" i="2"/>
  <c r="AF23" i="2" s="1"/>
  <c r="Y23" i="2"/>
  <c r="Z23" i="2" s="1"/>
  <c r="X23" i="2"/>
  <c r="S23" i="2"/>
  <c r="T23" i="2" s="1"/>
  <c r="R23" i="2"/>
  <c r="M23" i="2"/>
  <c r="L23" i="2"/>
  <c r="G23" i="2"/>
  <c r="H23" i="2" s="1"/>
  <c r="F23" i="2"/>
  <c r="DW21" i="2"/>
  <c r="DX21" i="2" s="1"/>
  <c r="DV21" i="2"/>
  <c r="DQ21" i="2"/>
  <c r="DR21" i="2" s="1"/>
  <c r="DP21" i="2"/>
  <c r="DL21" i="2"/>
  <c r="DK21" i="2"/>
  <c r="DJ21" i="2"/>
  <c r="DF21" i="2"/>
  <c r="DE21" i="2"/>
  <c r="DD21" i="2"/>
  <c r="CY21" i="2"/>
  <c r="CZ21" i="2" s="1"/>
  <c r="CX21" i="2"/>
  <c r="CS21" i="2"/>
  <c r="CT21" i="2" s="1"/>
  <c r="CR21" i="2"/>
  <c r="CM21" i="2"/>
  <c r="CL21" i="2"/>
  <c r="CN21" i="2" s="1"/>
  <c r="CG21" i="2"/>
  <c r="CH21" i="2" s="1"/>
  <c r="CF21" i="2"/>
  <c r="CA21" i="2"/>
  <c r="CB21" i="2" s="1"/>
  <c r="BZ21" i="2"/>
  <c r="BU21" i="2"/>
  <c r="BV21" i="2" s="1"/>
  <c r="BT21" i="2"/>
  <c r="BP21" i="2"/>
  <c r="BO21" i="2"/>
  <c r="BN21" i="2"/>
  <c r="BJ21" i="2"/>
  <c r="BI21" i="2"/>
  <c r="BH21" i="2"/>
  <c r="BC21" i="2"/>
  <c r="BD21" i="2" s="1"/>
  <c r="BB21" i="2"/>
  <c r="AW21" i="2"/>
  <c r="AX21" i="2" s="1"/>
  <c r="AV21" i="2"/>
  <c r="AQ21" i="2"/>
  <c r="AR21" i="2" s="1"/>
  <c r="AP21" i="2"/>
  <c r="AK21" i="2"/>
  <c r="AL21" i="2" s="1"/>
  <c r="AJ21" i="2"/>
  <c r="AE21" i="2"/>
  <c r="AF21" i="2" s="1"/>
  <c r="AD21" i="2"/>
  <c r="Y21" i="2"/>
  <c r="Z21" i="2" s="1"/>
  <c r="X21" i="2"/>
  <c r="T21" i="2"/>
  <c r="S21" i="2"/>
  <c r="R21" i="2"/>
  <c r="N21" i="2"/>
  <c r="M21" i="2"/>
  <c r="L21" i="2"/>
  <c r="G21" i="2"/>
  <c r="H21" i="2" s="1"/>
  <c r="F21" i="2"/>
  <c r="DW20" i="2"/>
  <c r="DX20" i="2" s="1"/>
  <c r="DV20" i="2"/>
  <c r="DQ20" i="2"/>
  <c r="DR20" i="2" s="1"/>
  <c r="DP20" i="2"/>
  <c r="DK20" i="2"/>
  <c r="DL20" i="2" s="1"/>
  <c r="DJ20" i="2"/>
  <c r="DE20" i="2"/>
  <c r="DF20" i="2" s="1"/>
  <c r="DD20" i="2"/>
  <c r="CY20" i="2"/>
  <c r="CZ20" i="2" s="1"/>
  <c r="CX20" i="2"/>
  <c r="CT20" i="2"/>
  <c r="CS20" i="2"/>
  <c r="CR20" i="2"/>
  <c r="CN20" i="2"/>
  <c r="CM20" i="2"/>
  <c r="CL20" i="2"/>
  <c r="CG20" i="2"/>
  <c r="CH20" i="2" s="1"/>
  <c r="CF20" i="2"/>
  <c r="CA20" i="2"/>
  <c r="CB20" i="2" s="1"/>
  <c r="BZ20" i="2"/>
  <c r="BU20" i="2"/>
  <c r="BV20" i="2" s="1"/>
  <c r="BT20" i="2"/>
  <c r="BO20" i="2"/>
  <c r="BP20" i="2" s="1"/>
  <c r="BN20" i="2"/>
  <c r="BI20" i="2"/>
  <c r="BJ20" i="2" s="1"/>
  <c r="BH20" i="2"/>
  <c r="BC20" i="2"/>
  <c r="BD20" i="2" s="1"/>
  <c r="BB20" i="2"/>
  <c r="AX20" i="2"/>
  <c r="AW20" i="2"/>
  <c r="AV20" i="2"/>
  <c r="AR20" i="2"/>
  <c r="AQ20" i="2"/>
  <c r="AP20" i="2"/>
  <c r="AK20" i="2"/>
  <c r="AL20" i="2" s="1"/>
  <c r="AJ20" i="2"/>
  <c r="AE20" i="2"/>
  <c r="AF20" i="2" s="1"/>
  <c r="AD20" i="2"/>
  <c r="Y20" i="2"/>
  <c r="Z20" i="2" s="1"/>
  <c r="X20" i="2"/>
  <c r="S20" i="2"/>
  <c r="T20" i="2" s="1"/>
  <c r="R20" i="2"/>
  <c r="M20" i="2"/>
  <c r="N20" i="2" s="1"/>
  <c r="L20" i="2"/>
  <c r="G20" i="2"/>
  <c r="H20" i="2" s="1"/>
  <c r="F20" i="2"/>
  <c r="BD19" i="2"/>
  <c r="T19" i="2"/>
  <c r="N19" i="2"/>
  <c r="DX18" i="2"/>
  <c r="DW18" i="2"/>
  <c r="DV18" i="2"/>
  <c r="DQ18" i="2"/>
  <c r="DR18" i="2" s="1"/>
  <c r="DP18" i="2"/>
  <c r="DK18" i="2"/>
  <c r="DL18" i="2" s="1"/>
  <c r="DJ18" i="2"/>
  <c r="DE18" i="2"/>
  <c r="DD18" i="2"/>
  <c r="DF18" i="2" s="1"/>
  <c r="CY18" i="2"/>
  <c r="CZ18" i="2" s="1"/>
  <c r="CX18" i="2"/>
  <c r="CS18" i="2"/>
  <c r="CT18" i="2" s="1"/>
  <c r="CR18" i="2"/>
  <c r="CM18" i="2"/>
  <c r="CN18" i="2" s="1"/>
  <c r="CL18" i="2"/>
  <c r="CH18" i="2"/>
  <c r="CG18" i="2"/>
  <c r="CF18" i="2"/>
  <c r="CB18" i="2"/>
  <c r="CA18" i="2"/>
  <c r="BZ18" i="2"/>
  <c r="BU18" i="2"/>
  <c r="BV18" i="2" s="1"/>
  <c r="BT18" i="2"/>
  <c r="BO18" i="2"/>
  <c r="BP18" i="2" s="1"/>
  <c r="BN18" i="2"/>
  <c r="BI18" i="2"/>
  <c r="BJ18" i="2" s="1"/>
  <c r="BH18" i="2"/>
  <c r="BC18" i="2"/>
  <c r="BD18" i="2" s="1"/>
  <c r="BB18" i="2"/>
  <c r="AW18" i="2"/>
  <c r="AX18" i="2" s="1"/>
  <c r="AV18" i="2"/>
  <c r="AQ18" i="2"/>
  <c r="AR18" i="2" s="1"/>
  <c r="AP18" i="2"/>
  <c r="AL18" i="2"/>
  <c r="AK18" i="2"/>
  <c r="AJ18" i="2"/>
  <c r="AF18" i="2"/>
  <c r="AE18" i="2"/>
  <c r="AD18" i="2"/>
  <c r="Y18" i="2"/>
  <c r="Z18" i="2" s="1"/>
  <c r="X18" i="2"/>
  <c r="S18" i="2"/>
  <c r="T18" i="2" s="1"/>
  <c r="R18" i="2"/>
  <c r="M18" i="2"/>
  <c r="N18" i="2" s="1"/>
  <c r="L18" i="2"/>
  <c r="G18" i="2"/>
  <c r="H18" i="2" s="1"/>
  <c r="F18" i="2"/>
  <c r="DW17" i="2"/>
  <c r="DX17" i="2" s="1"/>
  <c r="DV17" i="2"/>
  <c r="DQ17" i="2"/>
  <c r="DR17" i="2" s="1"/>
  <c r="DP17" i="2"/>
  <c r="DL17" i="2"/>
  <c r="DK17" i="2"/>
  <c r="DJ17" i="2"/>
  <c r="DF17" i="2"/>
  <c r="DE17" i="2"/>
  <c r="DD17" i="2"/>
  <c r="CY17" i="2"/>
  <c r="CZ17" i="2" s="1"/>
  <c r="CX17" i="2"/>
  <c r="CS17" i="2"/>
  <c r="CT17" i="2" s="1"/>
  <c r="CR17" i="2"/>
  <c r="CM17" i="2"/>
  <c r="CN17" i="2" s="1"/>
  <c r="CL17" i="2"/>
  <c r="CG17" i="2"/>
  <c r="CH17" i="2" s="1"/>
  <c r="CF17" i="2"/>
  <c r="CA17" i="2"/>
  <c r="CB17" i="2" s="1"/>
  <c r="BZ17" i="2"/>
  <c r="BU17" i="2"/>
  <c r="BV17" i="2" s="1"/>
  <c r="BT17" i="2"/>
  <c r="BP17" i="2"/>
  <c r="BO17" i="2"/>
  <c r="BN17" i="2"/>
  <c r="BI17" i="2"/>
  <c r="BJ17" i="2" s="1"/>
  <c r="BH17" i="2"/>
  <c r="BC17" i="2"/>
  <c r="BD17" i="2" s="1"/>
  <c r="BB17" i="2"/>
  <c r="AW17" i="2"/>
  <c r="AX17" i="2" s="1"/>
  <c r="AV17" i="2"/>
  <c r="AQ17" i="2"/>
  <c r="AR17" i="2" s="1"/>
  <c r="AP17" i="2"/>
  <c r="AK17" i="2"/>
  <c r="AL17" i="2" s="1"/>
  <c r="AJ17" i="2"/>
  <c r="AE17" i="2"/>
  <c r="AF17" i="2" s="1"/>
  <c r="AD17" i="2"/>
  <c r="Y17" i="2"/>
  <c r="Z17" i="2" s="1"/>
  <c r="X17" i="2"/>
  <c r="T17" i="2"/>
  <c r="S17" i="2"/>
  <c r="R17" i="2"/>
  <c r="M17" i="2"/>
  <c r="N17" i="2" s="1"/>
  <c r="L17" i="2"/>
  <c r="G17" i="2"/>
  <c r="H17" i="2" s="1"/>
  <c r="F17" i="2"/>
  <c r="DW15" i="2"/>
  <c r="DX15" i="2" s="1"/>
  <c r="DV15" i="2"/>
  <c r="DQ15" i="2"/>
  <c r="DR15" i="2" s="1"/>
  <c r="DP15" i="2"/>
  <c r="DK15" i="2"/>
  <c r="DL15" i="2" s="1"/>
  <c r="DJ15" i="2"/>
  <c r="DE15" i="2"/>
  <c r="DF15" i="2" s="1"/>
  <c r="DD15" i="2"/>
  <c r="CY15" i="2"/>
  <c r="CZ15" i="2" s="1"/>
  <c r="CX15" i="2"/>
  <c r="CT15" i="2"/>
  <c r="CS15" i="2"/>
  <c r="CR15" i="2"/>
  <c r="CN15" i="2"/>
  <c r="CM15" i="2"/>
  <c r="CL15" i="2"/>
  <c r="CG15" i="2"/>
  <c r="CH15" i="2" s="1"/>
  <c r="CF15" i="2"/>
  <c r="CA15" i="2"/>
  <c r="CB15" i="2" s="1"/>
  <c r="BZ15" i="2"/>
  <c r="BU15" i="2"/>
  <c r="BV15" i="2" s="1"/>
  <c r="BT15" i="2"/>
  <c r="BO15" i="2"/>
  <c r="BP15" i="2" s="1"/>
  <c r="BN15" i="2"/>
  <c r="BI15" i="2"/>
  <c r="BJ15" i="2" s="1"/>
  <c r="BH15" i="2"/>
  <c r="BC15" i="2"/>
  <c r="BD15" i="2" s="1"/>
  <c r="BB15" i="2"/>
  <c r="AX15" i="2"/>
  <c r="AW15" i="2"/>
  <c r="AV15" i="2"/>
  <c r="AR15" i="2"/>
  <c r="AQ15" i="2"/>
  <c r="AP15" i="2"/>
  <c r="AK15" i="2"/>
  <c r="AL15" i="2" s="1"/>
  <c r="AJ15" i="2"/>
  <c r="AE15" i="2"/>
  <c r="AF15" i="2" s="1"/>
  <c r="AD15" i="2"/>
  <c r="Y15" i="2"/>
  <c r="X15" i="2"/>
  <c r="Z15" i="2" s="1"/>
  <c r="S15" i="2"/>
  <c r="T15" i="2" s="1"/>
  <c r="R15" i="2"/>
  <c r="M15" i="2"/>
  <c r="N15" i="2" s="1"/>
  <c r="L15" i="2"/>
  <c r="G15" i="2"/>
  <c r="H15" i="2" s="1"/>
  <c r="F15" i="2"/>
  <c r="DX13" i="2"/>
  <c r="DW13" i="2"/>
  <c r="DV13" i="2"/>
  <c r="DR13" i="2"/>
  <c r="DQ13" i="2"/>
  <c r="DP13" i="2"/>
  <c r="DK13" i="2"/>
  <c r="DL13" i="2" s="1"/>
  <c r="DJ13" i="2"/>
  <c r="DE13" i="2"/>
  <c r="DF13" i="2" s="1"/>
  <c r="DD13" i="2"/>
  <c r="CY13" i="2"/>
  <c r="CX13" i="2"/>
  <c r="CZ13" i="2" s="1"/>
  <c r="CS13" i="2"/>
  <c r="CT13" i="2" s="1"/>
  <c r="CR13" i="2"/>
  <c r="CM13" i="2"/>
  <c r="CN13" i="2" s="1"/>
  <c r="CL13" i="2"/>
  <c r="CG13" i="2"/>
  <c r="CH13" i="2" s="1"/>
  <c r="CF13" i="2"/>
  <c r="CB13" i="2"/>
  <c r="CA13" i="2"/>
  <c r="BZ13" i="2"/>
  <c r="BV13" i="2"/>
  <c r="BU13" i="2"/>
  <c r="BT13" i="2"/>
  <c r="BO13" i="2"/>
  <c r="BP13" i="2" s="1"/>
  <c r="BN13" i="2"/>
  <c r="BI13" i="2"/>
  <c r="BJ13" i="2" s="1"/>
  <c r="BH13" i="2"/>
  <c r="BC13" i="2"/>
  <c r="BD13" i="2" s="1"/>
  <c r="BB13" i="2"/>
  <c r="AW13" i="2"/>
  <c r="AX13" i="2" s="1"/>
  <c r="AV13" i="2"/>
  <c r="AQ13" i="2"/>
  <c r="AR13" i="2" s="1"/>
  <c r="AP13" i="2"/>
  <c r="AK13" i="2"/>
  <c r="AL13" i="2" s="1"/>
  <c r="AJ13" i="2"/>
  <c r="AF13" i="2"/>
  <c r="AE13" i="2"/>
  <c r="AD13" i="2"/>
  <c r="Z13" i="2"/>
  <c r="Y13" i="2"/>
  <c r="X13" i="2"/>
  <c r="S13" i="2"/>
  <c r="T13" i="2" s="1"/>
  <c r="R13" i="2"/>
  <c r="M13" i="2"/>
  <c r="N13" i="2" s="1"/>
  <c r="L13" i="2"/>
  <c r="G13" i="2"/>
  <c r="F13" i="2"/>
  <c r="H13" i="2" s="1"/>
  <c r="DW11" i="2"/>
  <c r="DX11" i="2" s="1"/>
  <c r="DV11" i="2"/>
  <c r="DQ11" i="2"/>
  <c r="DR11" i="2" s="1"/>
  <c r="DP11" i="2"/>
  <c r="DK11" i="2"/>
  <c r="DL11" i="2" s="1"/>
  <c r="DJ11" i="2"/>
  <c r="DF11" i="2"/>
  <c r="DE11" i="2"/>
  <c r="DD11" i="2"/>
  <c r="CZ11" i="2"/>
  <c r="CY11" i="2"/>
  <c r="CX11" i="2"/>
  <c r="CS11" i="2"/>
  <c r="CT11" i="2" s="1"/>
  <c r="CR11" i="2"/>
  <c r="CM11" i="2"/>
  <c r="CN11" i="2" s="1"/>
  <c r="CL11" i="2"/>
  <c r="CG11" i="2"/>
  <c r="CF11" i="2"/>
  <c r="CH11" i="2" s="1"/>
  <c r="CA11" i="2"/>
  <c r="CB11" i="2" s="1"/>
  <c r="BZ11" i="2"/>
  <c r="BU11" i="2"/>
  <c r="BV11" i="2" s="1"/>
  <c r="BT11" i="2"/>
  <c r="BO11" i="2"/>
  <c r="BP11" i="2" s="1"/>
  <c r="BN11" i="2"/>
  <c r="BJ11" i="2"/>
  <c r="BI11" i="2"/>
  <c r="BH11" i="2"/>
  <c r="BD11" i="2"/>
  <c r="BC11" i="2"/>
  <c r="BB11" i="2"/>
  <c r="AW11" i="2"/>
  <c r="AX11" i="2" s="1"/>
  <c r="AV11" i="2"/>
  <c r="AQ11" i="2"/>
  <c r="AR11" i="2" s="1"/>
  <c r="AP11" i="2"/>
  <c r="AK11" i="2"/>
  <c r="AL11" i="2" s="1"/>
  <c r="AJ11" i="2"/>
  <c r="AE11" i="2"/>
  <c r="AF11" i="2" s="1"/>
  <c r="AD11" i="2"/>
  <c r="Y11" i="2"/>
  <c r="Z11" i="2" s="1"/>
  <c r="X11" i="2"/>
  <c r="S11" i="2"/>
  <c r="T11" i="2" s="1"/>
  <c r="R11" i="2"/>
  <c r="N11" i="2"/>
  <c r="M11" i="2"/>
  <c r="L11" i="2"/>
  <c r="H11" i="2"/>
  <c r="G11" i="2"/>
  <c r="F11" i="2"/>
  <c r="DW10" i="2"/>
  <c r="DX10" i="2" s="1"/>
  <c r="DV10" i="2"/>
  <c r="DQ10" i="2"/>
  <c r="DR10" i="2" s="1"/>
  <c r="DP10" i="2"/>
  <c r="DK10" i="2"/>
  <c r="DL10" i="2" s="1"/>
  <c r="DJ10" i="2"/>
  <c r="DE10" i="2"/>
  <c r="DF10" i="2" s="1"/>
  <c r="DD10" i="2"/>
  <c r="CY10" i="2"/>
  <c r="CZ10" i="2" s="1"/>
  <c r="CX10" i="2"/>
  <c r="CS10" i="2"/>
  <c r="CT10" i="2" s="1"/>
  <c r="CR10" i="2"/>
  <c r="CN10" i="2"/>
  <c r="CM10" i="2"/>
  <c r="CL10" i="2"/>
  <c r="CH10" i="2"/>
  <c r="CG10" i="2"/>
  <c r="CF10" i="2"/>
  <c r="CA10" i="2"/>
  <c r="CB10" i="2" s="1"/>
  <c r="BZ10" i="2"/>
  <c r="BU10" i="2"/>
  <c r="BV10" i="2" s="1"/>
  <c r="BT10" i="2"/>
  <c r="BO10" i="2"/>
  <c r="BP10" i="2" s="1"/>
  <c r="BN10" i="2"/>
  <c r="BI10" i="2"/>
  <c r="BJ10" i="2" s="1"/>
  <c r="BH10" i="2"/>
  <c r="BD10" i="2"/>
  <c r="AX10" i="2"/>
  <c r="AW10" i="2"/>
  <c r="AV10" i="2"/>
  <c r="AQ10" i="2"/>
  <c r="AR10" i="2" s="1"/>
  <c r="AP10" i="2"/>
  <c r="AK10" i="2"/>
  <c r="AL10" i="2" s="1"/>
  <c r="AJ10" i="2"/>
  <c r="AE10" i="2"/>
  <c r="AF10" i="2" s="1"/>
  <c r="AD10" i="2"/>
  <c r="Y10" i="2"/>
  <c r="Z10" i="2" s="1"/>
  <c r="X10" i="2"/>
  <c r="S10" i="2"/>
  <c r="T10" i="2" s="1"/>
  <c r="R10" i="2"/>
  <c r="M10" i="2"/>
  <c r="N10" i="2" s="1"/>
  <c r="L10" i="2"/>
  <c r="H10" i="2"/>
  <c r="G10" i="2"/>
  <c r="F10" i="2"/>
  <c r="DX9" i="2"/>
  <c r="DW9" i="2"/>
  <c r="DV9" i="2"/>
  <c r="DU9" i="2"/>
  <c r="DQ9" i="2"/>
  <c r="DR9" i="2" s="1"/>
  <c r="DP9" i="2"/>
  <c r="DK9" i="2"/>
  <c r="DL9" i="2" s="1"/>
  <c r="DJ9" i="2"/>
  <c r="DE9" i="2"/>
  <c r="DF9" i="2" s="1"/>
  <c r="DD9" i="2"/>
  <c r="CZ9" i="2"/>
  <c r="CY9" i="2"/>
  <c r="CX9" i="2"/>
  <c r="CT9" i="2"/>
  <c r="CS9" i="2"/>
  <c r="CR9" i="2"/>
  <c r="CM9" i="2"/>
  <c r="CN9" i="2" s="1"/>
  <c r="CL9" i="2"/>
  <c r="CG9" i="2"/>
  <c r="CH9" i="2" s="1"/>
  <c r="CF9" i="2"/>
  <c r="CA9" i="2"/>
  <c r="CB9" i="2" s="1"/>
  <c r="BZ9" i="2"/>
  <c r="BU9" i="2"/>
  <c r="BV9" i="2" s="1"/>
  <c r="BT9" i="2"/>
  <c r="BO9" i="2"/>
  <c r="BP9" i="2" s="1"/>
  <c r="BN9" i="2"/>
  <c r="BI9" i="2"/>
  <c r="BJ9" i="2" s="1"/>
  <c r="BH9" i="2"/>
  <c r="BD9" i="2"/>
  <c r="BC9" i="2"/>
  <c r="BB9" i="2"/>
  <c r="AX9" i="2"/>
  <c r="AW9" i="2"/>
  <c r="AV9" i="2"/>
  <c r="AQ9" i="2"/>
  <c r="AR9" i="2" s="1"/>
  <c r="AP9" i="2"/>
  <c r="AK9" i="2"/>
  <c r="AL9" i="2" s="1"/>
  <c r="AJ9" i="2"/>
  <c r="AE9" i="2"/>
  <c r="AF9" i="2" s="1"/>
  <c r="AD9" i="2"/>
  <c r="Y9" i="2"/>
  <c r="Z9" i="2" s="1"/>
  <c r="X9" i="2"/>
  <c r="S9" i="2"/>
  <c r="T9" i="2" s="1"/>
  <c r="R9" i="2"/>
  <c r="M9" i="2"/>
  <c r="N9" i="2" s="1"/>
  <c r="L9" i="2"/>
  <c r="H9" i="2"/>
  <c r="G9" i="2"/>
  <c r="F9" i="2"/>
  <c r="DX8" i="2"/>
  <c r="DW8" i="2"/>
  <c r="DV8" i="2"/>
  <c r="DU8" i="2"/>
  <c r="DQ8" i="2"/>
  <c r="DR8" i="2" s="1"/>
  <c r="DP8" i="2"/>
  <c r="DK8" i="2"/>
  <c r="DL8" i="2" s="1"/>
  <c r="DJ8" i="2"/>
  <c r="DE8" i="2"/>
  <c r="DF8" i="2" s="1"/>
  <c r="DD8" i="2"/>
  <c r="CZ8" i="2"/>
  <c r="CY8" i="2"/>
  <c r="CX8" i="2"/>
  <c r="CT8" i="2"/>
  <c r="CS8" i="2"/>
  <c r="CR8" i="2"/>
  <c r="CM8" i="2"/>
  <c r="CN8" i="2" s="1"/>
  <c r="CL8" i="2"/>
  <c r="CG8" i="2"/>
  <c r="CF8" i="2"/>
  <c r="CH8" i="2" s="1"/>
  <c r="CA8" i="2"/>
  <c r="CB8" i="2" s="1"/>
  <c r="BZ8" i="2"/>
  <c r="BU8" i="2"/>
  <c r="BV8" i="2" s="1"/>
  <c r="BT8" i="2"/>
  <c r="BO8" i="2"/>
  <c r="BP8" i="2" s="1"/>
  <c r="BN8" i="2"/>
  <c r="BI8" i="2"/>
  <c r="BJ8" i="2" s="1"/>
  <c r="BH8" i="2"/>
  <c r="BD8" i="2"/>
  <c r="BC8" i="2"/>
  <c r="BB8" i="2"/>
  <c r="AX8" i="2"/>
  <c r="AW8" i="2"/>
  <c r="AV8" i="2"/>
  <c r="AQ8" i="2"/>
  <c r="AR8" i="2" s="1"/>
  <c r="AP8" i="2"/>
  <c r="AK8" i="2"/>
  <c r="AJ8" i="2"/>
  <c r="AL8" i="2" s="1"/>
  <c r="AE8" i="2"/>
  <c r="AF8" i="2" s="1"/>
  <c r="AD8" i="2"/>
  <c r="Y8" i="2"/>
  <c r="Z8" i="2" s="1"/>
  <c r="X8" i="2"/>
  <c r="S8" i="2"/>
  <c r="T8" i="2" s="1"/>
  <c r="R8" i="2"/>
  <c r="M8" i="2"/>
  <c r="N8" i="2" s="1"/>
  <c r="L8" i="2"/>
  <c r="H8" i="2"/>
  <c r="G8" i="2"/>
  <c r="F8" i="2"/>
  <c r="DX7" i="2"/>
  <c r="DW7" i="2"/>
  <c r="DV7" i="2"/>
  <c r="DU7" i="2"/>
  <c r="DQ7" i="2"/>
  <c r="DR7" i="2" s="1"/>
  <c r="DP7" i="2"/>
  <c r="DK7" i="2"/>
  <c r="DL7" i="2" s="1"/>
  <c r="DJ7" i="2"/>
  <c r="DE7" i="2"/>
  <c r="DF7" i="2" s="1"/>
  <c r="DD7" i="2"/>
  <c r="CZ7" i="2"/>
  <c r="CY7" i="2"/>
  <c r="CX7" i="2"/>
  <c r="CT7" i="2"/>
  <c r="CS7" i="2"/>
  <c r="CR7" i="2"/>
  <c r="CM7" i="2"/>
  <c r="CN7" i="2" s="1"/>
  <c r="CL7" i="2"/>
  <c r="CG7" i="2"/>
  <c r="CF7" i="2"/>
  <c r="CH7" i="2" s="1"/>
  <c r="CA7" i="2"/>
  <c r="CB7" i="2" s="1"/>
  <c r="BZ7" i="2"/>
  <c r="BU7" i="2"/>
  <c r="BV7" i="2" s="1"/>
  <c r="BT7" i="2"/>
  <c r="BO7" i="2"/>
  <c r="BP7" i="2" s="1"/>
  <c r="BN7" i="2"/>
  <c r="BI7" i="2"/>
  <c r="BJ7" i="2" s="1"/>
  <c r="BH7" i="2"/>
  <c r="BD7" i="2"/>
  <c r="BC7" i="2"/>
  <c r="BB7" i="2"/>
  <c r="AX7" i="2"/>
  <c r="AW7" i="2"/>
  <c r="AV7" i="2"/>
  <c r="AQ7" i="2"/>
  <c r="AR7" i="2" s="1"/>
  <c r="AP7" i="2"/>
  <c r="AK7" i="2"/>
  <c r="AL7" i="2" s="1"/>
  <c r="AJ7" i="2"/>
  <c r="AE7" i="2"/>
  <c r="AF7" i="2" s="1"/>
  <c r="AD7" i="2"/>
  <c r="Y7" i="2"/>
  <c r="Z7" i="2" s="1"/>
  <c r="X7" i="2"/>
  <c r="S7" i="2"/>
  <c r="T7" i="2" s="1"/>
  <c r="R7" i="2"/>
  <c r="M7" i="2"/>
  <c r="L7" i="2"/>
  <c r="N7" i="2" s="1"/>
  <c r="H7" i="2"/>
  <c r="G7" i="2"/>
  <c r="F7" i="2"/>
  <c r="DW6" i="2"/>
  <c r="DV6" i="2"/>
  <c r="DX6" i="2" s="1"/>
  <c r="DU6" i="2"/>
  <c r="DQ6" i="2"/>
  <c r="DR6" i="2" s="1"/>
  <c r="DP6" i="2"/>
  <c r="DK6" i="2"/>
  <c r="DL6" i="2" s="1"/>
  <c r="DJ6" i="2"/>
  <c r="DE6" i="2"/>
  <c r="DF6" i="2" s="1"/>
  <c r="DD6" i="2"/>
  <c r="CZ6" i="2"/>
  <c r="CY6" i="2"/>
  <c r="CX6" i="2"/>
  <c r="CT6" i="2"/>
  <c r="CS6" i="2"/>
  <c r="CR6" i="2"/>
  <c r="CM6" i="2"/>
  <c r="CN6" i="2" s="1"/>
  <c r="CL6" i="2"/>
  <c r="CG6" i="2"/>
  <c r="CH6" i="2" s="1"/>
  <c r="CF6" i="2"/>
  <c r="CA6" i="2"/>
  <c r="CB6" i="2" s="1"/>
  <c r="BZ6" i="2"/>
  <c r="BU6" i="2"/>
  <c r="BV6" i="2" s="1"/>
  <c r="BT6" i="2"/>
  <c r="BO6" i="2"/>
  <c r="BP6" i="2" s="1"/>
  <c r="BN6" i="2"/>
  <c r="BI6" i="2"/>
  <c r="BJ6" i="2" s="1"/>
  <c r="BH6" i="2"/>
  <c r="BD6" i="2"/>
  <c r="BC6" i="2"/>
  <c r="BB6" i="2"/>
  <c r="AX6" i="2"/>
  <c r="AW6" i="2"/>
  <c r="AV6" i="2"/>
  <c r="AQ6" i="2"/>
  <c r="AR6" i="2" s="1"/>
  <c r="AP6" i="2"/>
  <c r="AK6" i="2"/>
  <c r="AL6" i="2" s="1"/>
  <c r="AJ6" i="2"/>
  <c r="AE6" i="2"/>
  <c r="AF6" i="2" s="1"/>
  <c r="AD6" i="2"/>
  <c r="Y6" i="2"/>
  <c r="Z6" i="2" s="1"/>
  <c r="X6" i="2"/>
  <c r="S6" i="2"/>
  <c r="T6" i="2" s="1"/>
  <c r="R6" i="2"/>
  <c r="M6" i="2"/>
  <c r="N6" i="2" s="1"/>
  <c r="L6" i="2"/>
  <c r="H6" i="2"/>
  <c r="G6" i="2"/>
  <c r="F6" i="2"/>
  <c r="DX5" i="2"/>
  <c r="DW5" i="2"/>
  <c r="DV5" i="2"/>
  <c r="DU5" i="2"/>
  <c r="DQ5" i="2"/>
  <c r="DR5" i="2" s="1"/>
  <c r="DP5" i="2"/>
  <c r="DK5" i="2"/>
  <c r="DL5" i="2" s="1"/>
  <c r="DJ5" i="2"/>
  <c r="DE5" i="2"/>
  <c r="DF5" i="2" s="1"/>
  <c r="DD5" i="2"/>
  <c r="CZ5" i="2"/>
  <c r="CY5" i="2"/>
  <c r="CX5" i="2"/>
  <c r="CT5" i="2"/>
  <c r="CS5" i="2"/>
  <c r="CR5" i="2"/>
  <c r="CM5" i="2"/>
  <c r="CN5" i="2" s="1"/>
  <c r="CL5" i="2"/>
  <c r="CG5" i="2"/>
  <c r="CH5" i="2" s="1"/>
  <c r="CF5" i="2"/>
  <c r="CA5" i="2"/>
  <c r="CB5" i="2" s="1"/>
  <c r="BZ5" i="2"/>
  <c r="BU5" i="2"/>
  <c r="BV5" i="2" s="1"/>
  <c r="BT5" i="2"/>
  <c r="BO5" i="2"/>
  <c r="BP5" i="2" s="1"/>
  <c r="BN5" i="2"/>
  <c r="BI5" i="2"/>
  <c r="BJ5" i="2" s="1"/>
  <c r="BH5" i="2"/>
  <c r="BD5" i="2"/>
  <c r="BC5" i="2"/>
  <c r="BB5" i="2"/>
  <c r="AX5" i="2"/>
  <c r="AW5" i="2"/>
  <c r="AV5" i="2"/>
  <c r="AQ5" i="2"/>
  <c r="AR5" i="2" s="1"/>
  <c r="AP5" i="2"/>
  <c r="AK5" i="2"/>
  <c r="AL5" i="2" s="1"/>
  <c r="AJ5" i="2"/>
  <c r="AE5" i="2"/>
  <c r="AF5" i="2" s="1"/>
  <c r="AD5" i="2"/>
  <c r="Y5" i="2"/>
  <c r="Z5" i="2" s="1"/>
  <c r="X5" i="2"/>
  <c r="S5" i="2"/>
  <c r="T5" i="2" s="1"/>
  <c r="R5" i="2"/>
  <c r="M5" i="2"/>
  <c r="N5" i="2" s="1"/>
  <c r="L5" i="2"/>
  <c r="H5" i="2"/>
  <c r="G5" i="2"/>
  <c r="F5" i="2"/>
  <c r="DX4" i="2"/>
  <c r="DW4" i="2"/>
  <c r="DV4" i="2"/>
  <c r="DU4" i="2"/>
  <c r="DQ4" i="2"/>
  <c r="DR4" i="2" s="1"/>
  <c r="DP4" i="2"/>
  <c r="DK4" i="2"/>
  <c r="DL4" i="2" s="1"/>
  <c r="DJ4" i="2"/>
  <c r="DE4" i="2"/>
  <c r="DF4" i="2" s="1"/>
  <c r="DD4" i="2"/>
  <c r="CZ4" i="2"/>
  <c r="CY4" i="2"/>
  <c r="CX4" i="2"/>
  <c r="CT4" i="2"/>
  <c r="CS4" i="2"/>
  <c r="CR4" i="2"/>
  <c r="CM4" i="2"/>
  <c r="CN4" i="2" s="1"/>
  <c r="CL4" i="2"/>
  <c r="CG4" i="2"/>
  <c r="CF4" i="2"/>
  <c r="CH4" i="2" s="1"/>
  <c r="CA4" i="2"/>
  <c r="CB4" i="2" s="1"/>
  <c r="BZ4" i="2"/>
  <c r="BU4" i="2"/>
  <c r="BV4" i="2" s="1"/>
  <c r="BT4" i="2"/>
  <c r="BO4" i="2"/>
  <c r="BP4" i="2" s="1"/>
  <c r="BN4" i="2"/>
  <c r="BI4" i="2"/>
  <c r="BJ4" i="2" s="1"/>
  <c r="BH4" i="2"/>
  <c r="BD4" i="2"/>
  <c r="BC4" i="2"/>
  <c r="BB4" i="2"/>
  <c r="AX4" i="2"/>
  <c r="AW4" i="2"/>
  <c r="AV4" i="2"/>
  <c r="AQ4" i="2"/>
  <c r="AR4" i="2" s="1"/>
  <c r="AP4" i="2"/>
  <c r="AK4" i="2"/>
  <c r="AJ4" i="2"/>
  <c r="AL4" i="2" s="1"/>
  <c r="AE4" i="2"/>
  <c r="AF4" i="2" s="1"/>
  <c r="AD4" i="2"/>
  <c r="Y4" i="2"/>
  <c r="Z4" i="2" s="1"/>
  <c r="X4" i="2"/>
  <c r="S4" i="2"/>
  <c r="T4" i="2" s="1"/>
  <c r="R4" i="2"/>
  <c r="M4" i="2"/>
  <c r="N4" i="2" s="1"/>
  <c r="L4" i="2"/>
  <c r="H4" i="2"/>
  <c r="G4" i="2"/>
  <c r="F4" i="2"/>
  <c r="DX3" i="2"/>
  <c r="DW3" i="2"/>
  <c r="DV3" i="2"/>
  <c r="DU3" i="2"/>
  <c r="DQ3" i="2"/>
  <c r="DR3" i="2" s="1"/>
  <c r="DP3" i="2"/>
  <c r="DK3" i="2"/>
  <c r="DL3" i="2" s="1"/>
  <c r="DJ3" i="2"/>
  <c r="DE3" i="2"/>
  <c r="DF3" i="2" s="1"/>
  <c r="DD3" i="2"/>
  <c r="CZ3" i="2"/>
  <c r="CY3" i="2"/>
  <c r="CX3" i="2"/>
  <c r="CT3" i="2"/>
  <c r="CS3" i="2"/>
  <c r="CR3" i="2"/>
  <c r="CM3" i="2"/>
  <c r="CN3" i="2" s="1"/>
  <c r="CL3" i="2"/>
  <c r="CG3" i="2"/>
  <c r="CF3" i="2"/>
  <c r="CH3" i="2" s="1"/>
  <c r="CA3" i="2"/>
  <c r="CB3" i="2" s="1"/>
  <c r="BZ3" i="2"/>
  <c r="BU3" i="2"/>
  <c r="BV3" i="2" s="1"/>
  <c r="BT3" i="2"/>
  <c r="BO3" i="2"/>
  <c r="BP3" i="2" s="1"/>
  <c r="BN3" i="2"/>
  <c r="BI3" i="2"/>
  <c r="BJ3" i="2" s="1"/>
  <c r="BH3" i="2"/>
  <c r="BD3" i="2"/>
  <c r="BC3" i="2"/>
  <c r="BB3" i="2"/>
  <c r="AX3" i="2"/>
  <c r="AW3" i="2"/>
  <c r="AV3" i="2"/>
  <c r="AQ3" i="2"/>
  <c r="AR3" i="2" s="1"/>
  <c r="AP3" i="2"/>
  <c r="AK3" i="2"/>
  <c r="AL3" i="2" s="1"/>
  <c r="AJ3" i="2"/>
  <c r="AE3" i="2"/>
  <c r="AF3" i="2" s="1"/>
  <c r="AD3" i="2"/>
  <c r="AD27" i="2" s="1"/>
  <c r="Y3" i="2"/>
  <c r="Z3" i="2" s="1"/>
  <c r="X3" i="2"/>
  <c r="S3" i="2"/>
  <c r="T3" i="2" s="1"/>
  <c r="R3" i="2"/>
  <c r="M3" i="2"/>
  <c r="N3" i="2" s="1"/>
  <c r="L3" i="2"/>
  <c r="L27" i="2" s="1"/>
  <c r="H3" i="2"/>
  <c r="G3" i="2"/>
  <c r="F3" i="2"/>
  <c r="DX2" i="2"/>
  <c r="DW2" i="2"/>
  <c r="DW27" i="2" s="1"/>
  <c r="DX27" i="2" s="1"/>
  <c r="DV2" i="2"/>
  <c r="DV27" i="2" s="1"/>
  <c r="DU2" i="2"/>
  <c r="DQ2" i="2"/>
  <c r="DQ27" i="2" s="1"/>
  <c r="DP2" i="2"/>
  <c r="DP27" i="2" s="1"/>
  <c r="DK2" i="2"/>
  <c r="DL2" i="2" s="1"/>
  <c r="DJ2" i="2"/>
  <c r="DJ27" i="2" s="1"/>
  <c r="DE2" i="2"/>
  <c r="DF2" i="2" s="1"/>
  <c r="DD2" i="2"/>
  <c r="DD27" i="2" s="1"/>
  <c r="CZ2" i="2"/>
  <c r="CY2" i="2"/>
  <c r="CY27" i="2" s="1"/>
  <c r="CZ27" i="2" s="1"/>
  <c r="CX2" i="2"/>
  <c r="CX27" i="2" s="1"/>
  <c r="CT2" i="2"/>
  <c r="CS2" i="2"/>
  <c r="CS27" i="2" s="1"/>
  <c r="CR2" i="2"/>
  <c r="CR27" i="2" s="1"/>
  <c r="CM2" i="2"/>
  <c r="CM27" i="2" s="1"/>
  <c r="CL2" i="2"/>
  <c r="CL27" i="2" s="1"/>
  <c r="CG2" i="2"/>
  <c r="CG27" i="2" s="1"/>
  <c r="CF2" i="2"/>
  <c r="CH2" i="2" s="1"/>
  <c r="CA2" i="2"/>
  <c r="CB2" i="2" s="1"/>
  <c r="BZ2" i="2"/>
  <c r="BZ27" i="2" s="1"/>
  <c r="BU2" i="2"/>
  <c r="BV2" i="2" s="1"/>
  <c r="BT2" i="2"/>
  <c r="BT27" i="2" s="1"/>
  <c r="BO2" i="2"/>
  <c r="BP2" i="2" s="1"/>
  <c r="BN2" i="2"/>
  <c r="BN27" i="2" s="1"/>
  <c r="BI2" i="2"/>
  <c r="BJ2" i="2" s="1"/>
  <c r="BH2" i="2"/>
  <c r="BH27" i="2" s="1"/>
  <c r="BD2" i="2"/>
  <c r="BC2" i="2"/>
  <c r="BC27" i="2" s="1"/>
  <c r="BD27" i="2" s="1"/>
  <c r="BB2" i="2"/>
  <c r="BB27" i="2" s="1"/>
  <c r="AX2" i="2"/>
  <c r="AW2" i="2"/>
  <c r="AW27" i="2" s="1"/>
  <c r="AV2" i="2"/>
  <c r="AV27" i="2" s="1"/>
  <c r="AQ2" i="2"/>
  <c r="AQ27" i="2" s="1"/>
  <c r="AP2" i="2"/>
  <c r="AP27" i="2" s="1"/>
  <c r="AK2" i="2"/>
  <c r="AK27" i="2" s="1"/>
  <c r="AJ2" i="2"/>
  <c r="AL2" i="2" s="1"/>
  <c r="AF2" i="2"/>
  <c r="Y2" i="2"/>
  <c r="Z2" i="2" s="1"/>
  <c r="X2" i="2"/>
  <c r="X27" i="2" s="1"/>
  <c r="T2" i="2"/>
  <c r="S2" i="2"/>
  <c r="S27" i="2" s="1"/>
  <c r="R2" i="2"/>
  <c r="R27" i="2" s="1"/>
  <c r="N2" i="2"/>
  <c r="M2" i="2"/>
  <c r="M27" i="2" s="1"/>
  <c r="N27" i="2" s="1"/>
  <c r="L2" i="2"/>
  <c r="G2" i="2"/>
  <c r="G27" i="2" s="1"/>
  <c r="H27" i="2" s="1"/>
  <c r="F2" i="2"/>
  <c r="F27" i="2" s="1"/>
  <c r="P86" i="1"/>
  <c r="P78" i="1"/>
  <c r="V69" i="1"/>
  <c r="P93" i="1" s="1"/>
  <c r="U69" i="1"/>
  <c r="P92" i="1" s="1"/>
  <c r="T69" i="1"/>
  <c r="P91" i="1" s="1"/>
  <c r="S69" i="1"/>
  <c r="P90" i="1" s="1"/>
  <c r="R69" i="1"/>
  <c r="P89" i="1" s="1"/>
  <c r="Q69" i="1"/>
  <c r="P88" i="1" s="1"/>
  <c r="P69" i="1"/>
  <c r="P87" i="1" s="1"/>
  <c r="O69" i="1"/>
  <c r="N69" i="1"/>
  <c r="P85" i="1" s="1"/>
  <c r="M69" i="1"/>
  <c r="P84" i="1" s="1"/>
  <c r="L69" i="1"/>
  <c r="P83" i="1" s="1"/>
  <c r="K69" i="1"/>
  <c r="P82" i="1" s="1"/>
  <c r="J69" i="1"/>
  <c r="P81" i="1" s="1"/>
  <c r="I69" i="1"/>
  <c r="P80" i="1" s="1"/>
  <c r="H69" i="1"/>
  <c r="P79" i="1" s="1"/>
  <c r="G69" i="1"/>
  <c r="F69" i="1"/>
  <c r="P77" i="1" s="1"/>
  <c r="E69" i="1"/>
  <c r="P76" i="1" s="1"/>
  <c r="D69" i="1"/>
  <c r="P75" i="1" s="1"/>
  <c r="C69" i="1"/>
  <c r="P74" i="1" s="1"/>
  <c r="B69" i="1"/>
  <c r="P73" i="1" s="1"/>
  <c r="BL59" i="1"/>
  <c r="BM59" i="1" s="1"/>
  <c r="BK59" i="1"/>
  <c r="BI59" i="1"/>
  <c r="BJ59" i="1" s="1"/>
  <c r="BH59" i="1"/>
  <c r="BF59" i="1"/>
  <c r="BG59" i="1" s="1"/>
  <c r="BG61" i="1" s="1"/>
  <c r="BE59" i="1"/>
  <c r="BC59" i="1"/>
  <c r="BD59" i="1" s="1"/>
  <c r="BB59" i="1"/>
  <c r="AZ59" i="1"/>
  <c r="BA59" i="1" s="1"/>
  <c r="BA61" i="1" s="1"/>
  <c r="AY59" i="1"/>
  <c r="AX59" i="1"/>
  <c r="AX61" i="1" s="1"/>
  <c r="AW59" i="1"/>
  <c r="AV59" i="1"/>
  <c r="AU59" i="1"/>
  <c r="AT59" i="1"/>
  <c r="AS59" i="1"/>
  <c r="AR59" i="1"/>
  <c r="AR61" i="1" s="1"/>
  <c r="AQ59" i="1"/>
  <c r="AP59" i="1"/>
  <c r="AN59" i="1"/>
  <c r="AO59" i="1" s="1"/>
  <c r="AM59" i="1"/>
  <c r="AK59" i="1"/>
  <c r="AL59" i="1" s="1"/>
  <c r="AL61" i="1" s="1"/>
  <c r="AJ59" i="1"/>
  <c r="AH59" i="1"/>
  <c r="AI59" i="1" s="1"/>
  <c r="AI61" i="1" s="1"/>
  <c r="AG59" i="1"/>
  <c r="AE59" i="1"/>
  <c r="AF59" i="1" s="1"/>
  <c r="AD59" i="1"/>
  <c r="AB59" i="1"/>
  <c r="AC59" i="1" s="1"/>
  <c r="AA59" i="1"/>
  <c r="Z59" i="1"/>
  <c r="Z61" i="1" s="1"/>
  <c r="Y59" i="1"/>
  <c r="X59" i="1"/>
  <c r="W59" i="1"/>
  <c r="W61" i="1" s="1"/>
  <c r="V59" i="1"/>
  <c r="U59" i="1"/>
  <c r="T59" i="1"/>
  <c r="T61" i="1" s="1"/>
  <c r="S59" i="1"/>
  <c r="R59" i="1"/>
  <c r="P59" i="1"/>
  <c r="Q59" i="1" s="1"/>
  <c r="Q61" i="1" s="1"/>
  <c r="O59" i="1"/>
  <c r="M59" i="1"/>
  <c r="N59" i="1" s="1"/>
  <c r="N61" i="1" s="1"/>
  <c r="L59" i="1"/>
  <c r="J59" i="1"/>
  <c r="K59" i="1" s="1"/>
  <c r="I59" i="1"/>
  <c r="G59" i="1"/>
  <c r="H59" i="1" s="1"/>
  <c r="F59" i="1"/>
  <c r="D59" i="1"/>
  <c r="E59" i="1" s="1"/>
  <c r="E61" i="1" s="1"/>
  <c r="C59" i="1"/>
  <c r="BM57" i="1"/>
  <c r="AI57" i="1"/>
  <c r="W57" i="1"/>
  <c r="BM56" i="1"/>
  <c r="BM55" i="1"/>
  <c r="BM54" i="1"/>
  <c r="BM53" i="1"/>
  <c r="BM52" i="1"/>
  <c r="BM51" i="1"/>
  <c r="BM50" i="1"/>
  <c r="BM49" i="1"/>
  <c r="BM48" i="1"/>
  <c r="AC48" i="1"/>
  <c r="K48" i="1"/>
  <c r="H48" i="1"/>
  <c r="BM47" i="1"/>
  <c r="BM46" i="1"/>
  <c r="BM45" i="1"/>
  <c r="BM44" i="1"/>
  <c r="BM43" i="1"/>
  <c r="BM42" i="1"/>
  <c r="BM41" i="1"/>
  <c r="BM40" i="1"/>
  <c r="BM39" i="1"/>
  <c r="BM38" i="1"/>
  <c r="BM37" i="1"/>
  <c r="BM36" i="1"/>
  <c r="BM35" i="1"/>
  <c r="BM34" i="1"/>
  <c r="BM33" i="1"/>
  <c r="BL28" i="1"/>
  <c r="BM28" i="1" s="1"/>
  <c r="BK28" i="1"/>
  <c r="BI28" i="1"/>
  <c r="BJ28" i="1" s="1"/>
  <c r="BH28" i="1"/>
  <c r="BF28" i="1"/>
  <c r="BG28" i="1" s="1"/>
  <c r="BE28" i="1"/>
  <c r="BC28" i="1"/>
  <c r="BD28" i="1" s="1"/>
  <c r="BB28" i="1"/>
  <c r="AZ28" i="1"/>
  <c r="BA28" i="1" s="1"/>
  <c r="AY28" i="1"/>
  <c r="AX28" i="1"/>
  <c r="AW28" i="1"/>
  <c r="AV28" i="1"/>
  <c r="AT28" i="1"/>
  <c r="AU28" i="1" s="1"/>
  <c r="AS28" i="1"/>
  <c r="AR28" i="1"/>
  <c r="AQ28" i="1"/>
  <c r="AP28" i="1"/>
  <c r="AN28" i="1"/>
  <c r="AO28" i="1" s="1"/>
  <c r="AM28" i="1"/>
  <c r="AK28" i="1"/>
  <c r="AL28" i="1" s="1"/>
  <c r="AJ28" i="1"/>
  <c r="AH28" i="1"/>
  <c r="AI28" i="1" s="1"/>
  <c r="AG28" i="1"/>
  <c r="AE28" i="1"/>
  <c r="AF28" i="1" s="1"/>
  <c r="AD28" i="1"/>
  <c r="AB28" i="1"/>
  <c r="AC28" i="1" s="1"/>
  <c r="AA28" i="1"/>
  <c r="Z28" i="1"/>
  <c r="Y28" i="1"/>
  <c r="X28" i="1"/>
  <c r="V28" i="1"/>
  <c r="W28" i="1" s="1"/>
  <c r="U28" i="1"/>
  <c r="T28" i="1"/>
  <c r="S28" i="1"/>
  <c r="R28" i="1"/>
  <c r="P28" i="1"/>
  <c r="Q28" i="1" s="1"/>
  <c r="O28" i="1"/>
  <c r="M28" i="1"/>
  <c r="N28" i="1" s="1"/>
  <c r="L28" i="1"/>
  <c r="J28" i="1"/>
  <c r="K28" i="1" s="1"/>
  <c r="I28" i="1"/>
  <c r="G28" i="1"/>
  <c r="H28" i="1" s="1"/>
  <c r="F28" i="1"/>
  <c r="D28" i="1"/>
  <c r="E28" i="1" s="1"/>
  <c r="C28" i="1"/>
  <c r="BM26" i="1"/>
  <c r="BM25" i="1"/>
  <c r="BM24" i="1"/>
  <c r="BM23" i="1"/>
  <c r="AR23" i="1"/>
  <c r="AO23" i="1"/>
  <c r="AL23" i="1"/>
  <c r="AI23" i="1"/>
  <c r="AF23" i="1"/>
  <c r="K23" i="1"/>
  <c r="BM22" i="1"/>
  <c r="BM21" i="1"/>
  <c r="BM20" i="1"/>
  <c r="BM19" i="1"/>
  <c r="BM18" i="1"/>
  <c r="BM17" i="1"/>
  <c r="BM16" i="1"/>
  <c r="K16" i="1"/>
  <c r="BM15" i="1"/>
  <c r="BM14" i="1"/>
  <c r="BM13" i="1"/>
  <c r="BM12" i="1"/>
  <c r="BM11" i="1"/>
  <c r="BM10" i="1"/>
  <c r="BM9" i="1"/>
  <c r="BM8" i="1"/>
  <c r="BM7" i="1"/>
  <c r="BM6" i="1"/>
  <c r="BM5" i="1"/>
  <c r="BM4" i="1"/>
  <c r="BM3" i="1"/>
  <c r="BM2" i="1"/>
  <c r="CT27" i="2" l="1"/>
  <c r="DR27" i="2"/>
  <c r="DZ57" i="2"/>
  <c r="T27" i="2"/>
  <c r="AR27" i="2"/>
  <c r="CH27" i="2"/>
  <c r="AX27" i="2"/>
  <c r="CN27" i="2"/>
  <c r="DR2" i="2"/>
  <c r="H2" i="2"/>
  <c r="AR2" i="2"/>
  <c r="CN2" i="2"/>
  <c r="BI27" i="2"/>
  <c r="BJ27" i="2" s="1"/>
  <c r="DE27" i="2"/>
  <c r="DF27" i="2" s="1"/>
  <c r="AE27" i="2"/>
  <c r="AF27" i="2" s="1"/>
  <c r="CA27" i="2"/>
  <c r="CB27" i="2" s="1"/>
  <c r="BU27" i="2"/>
  <c r="BV27" i="2" s="1"/>
  <c r="AJ27" i="2"/>
  <c r="AL27" i="2" s="1"/>
  <c r="BO27" i="2"/>
  <c r="BP27" i="2" s="1"/>
  <c r="CF27" i="2"/>
  <c r="DK27" i="2"/>
  <c r="DL27" i="2" s="1"/>
  <c r="Y27" i="2"/>
  <c r="Z27" i="2" s="1"/>
  <c r="DZ27" i="2" s="1"/>
  <c r="DZ59" i="2" s="1"/>
  <c r="BM30" i="1"/>
  <c r="BN28" i="1"/>
  <c r="BD61" i="1"/>
  <c r="AU61" i="1"/>
  <c r="AC61" i="1"/>
  <c r="AO61" i="1"/>
  <c r="BN59" i="1"/>
  <c r="BP29" i="1"/>
  <c r="BQ29" i="1" s="1"/>
  <c r="BM63" i="1"/>
  <c r="BM61" i="1"/>
  <c r="H61" i="1"/>
  <c r="K61" i="1"/>
  <c r="BJ61" i="1"/>
  <c r="AF61" i="1"/>
  <c r="BP28" i="1" l="1"/>
  <c r="BN61" i="1"/>
  <c r="C29" i="1" l="1"/>
  <c r="AA29" i="1"/>
  <c r="AY29" i="1"/>
  <c r="AD29" i="1"/>
  <c r="AG29" i="1"/>
  <c r="BE29" i="1"/>
  <c r="BH29" i="1"/>
  <c r="BK29" i="1"/>
  <c r="BB29" i="1"/>
  <c r="AS29" i="1"/>
  <c r="O29" i="1"/>
  <c r="U29" i="1"/>
  <c r="I29" i="1"/>
  <c r="AP29" i="1"/>
  <c r="AJ29" i="1"/>
  <c r="X29" i="1"/>
  <c r="F29" i="1"/>
  <c r="R29" i="1"/>
  <c r="AV29" i="1"/>
  <c r="L29" i="1"/>
  <c r="AM29" i="1"/>
  <c r="BO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tc={2D6E6345-9402-4997-A1BA-A2D58AD7B3C5}</author>
    <author>tc={7619BAEC-3649-4B50-BD67-459D87D6BC09}</author>
    <author>tc={51D77130-2205-468B-B853-8DF925AD2FBD}</author>
    <author>tc={B5ABA71D-E7C9-4A7F-AE69-3C77CB2B22A0}</author>
    <author>tc={60AF747B-80A9-4C51-AC39-D38B54E92F42}</author>
    <author>tc={13793E97-42A0-45D2-B893-03B5974E0F20}</author>
    <author>tc={754E874F-E2BA-45A4-BE77-75CA4964FCA8}</author>
    <author>tc={304BFA2E-934C-4639-8704-ACD8236324A5}</author>
    <author>tc={FCBA436E-07F7-434A-9CEF-B97F556518BD}</author>
    <author>tc={45DA30EB-0AC5-4070-8933-2CD4264E6F85}</author>
    <author>tc={23EC0D86-0326-4A2D-A4DC-3AC412E32B66}</author>
    <author>tc={47D68CA4-6306-423E-9CB6-03CBFFE3DE0F}</author>
  </authors>
  <commentList>
    <comment ref="J16" authorId="0" shapeId="0" xr:uid="{2D6E6345-9402-4997-A1BA-A2D58AD7B3C5}">
      <text>
        <t>[Threaded comment]
Your version of Excel allows you to read this threaded comment; however, any edits to it will get removed if the file is opened in a newer version of Excel. Learn more: https://go.microsoft.com/fwlink/?linkid=870924
Comment:
    FBI data</t>
      </text>
    </comment>
    <comment ref="J23" authorId="1" shapeId="0" xr:uid="{7619BAEC-3649-4B50-BD67-459D87D6BC09}">
      <text>
        <t>[Threaded comment]
Your version of Excel allows you to read this threaded comment; however, any edits to it will get removed if the file is opened in a newer version of Excel. Learn more: https://go.microsoft.com/fwlink/?linkid=870924
Comment:
    FBI data</t>
      </text>
    </comment>
    <comment ref="AE23" authorId="2" shapeId="0" xr:uid="{51D77130-2205-468B-B853-8DF925AD2FBD}">
      <text>
        <t>[Threaded comment]
Your version of Excel allows you to read this threaded comment; however, any edits to it will get removed if the file is opened in a newer version of Excel. Learn more: https://go.microsoft.com/fwlink/?linkid=870924
Comment:
    FBI data</t>
      </text>
    </comment>
    <comment ref="AH23" authorId="3" shapeId="0" xr:uid="{B5ABA71D-E7C9-4A7F-AE69-3C77CB2B22A0}">
      <text>
        <t>[Threaded comment]
Your version of Excel allows you to read this threaded comment; however, any edits to it will get removed if the file is opened in a newer version of Excel. Learn more: https://go.microsoft.com/fwlink/?linkid=870924
Comment:
    FBI data</t>
      </text>
    </comment>
    <comment ref="AK23" authorId="4" shapeId="0" xr:uid="{60AF747B-80A9-4C51-AC39-D38B54E92F42}">
      <text>
        <t>[Threaded comment]
Your version of Excel allows you to read this threaded comment; however, any edits to it will get removed if the file is opened in a newer version of Excel. Learn more: https://go.microsoft.com/fwlink/?linkid=870924
Comment:
    FBI data</t>
      </text>
    </comment>
    <comment ref="AN23" authorId="5" shapeId="0" xr:uid="{13793E97-42A0-45D2-B893-03B5974E0F20}">
      <text>
        <t>[Threaded comment]
Your version of Excel allows you to read this threaded comment; however, any edits to it will get removed if the file is opened in a newer version of Excel. Learn more: https://go.microsoft.com/fwlink/?linkid=870924
Comment:
    FBI data</t>
      </text>
    </comment>
    <comment ref="AQ23" authorId="6" shapeId="0" xr:uid="{754E874F-E2BA-45A4-BE77-75CA4964FCA8}">
      <text>
        <t>[Threaded comment]
Your version of Excel allows you to read this threaded comment; however, any edits to it will get removed if the file is opened in a newer version of Excel. Learn more: https://go.microsoft.com/fwlink/?linkid=870924
Comment:
    FBI data</t>
      </text>
    </comment>
    <comment ref="G48" authorId="7" shapeId="0" xr:uid="{304BFA2E-934C-4639-8704-ACD8236324A5}">
      <text>
        <t>[Threaded comment]
Your version of Excel allows you to read this threaded comment; however, any edits to it will get removed if the file is opened in a newer version of Excel. Learn more: https://go.microsoft.com/fwlink/?linkid=870924
Comment:
    FBI data</t>
      </text>
    </comment>
    <comment ref="J48" authorId="8" shapeId="0" xr:uid="{FCBA436E-07F7-434A-9CEF-B97F556518BD}">
      <text>
        <t>[Threaded comment]
Your version of Excel allows you to read this threaded comment; however, any edits to it will get removed if the file is opened in a newer version of Excel. Learn more: https://go.microsoft.com/fwlink/?linkid=870924
Comment:
    FBI data</t>
      </text>
    </comment>
    <comment ref="AB48" authorId="9" shapeId="0" xr:uid="{45DA30EB-0AC5-4070-8933-2CD4264E6F85}">
      <text>
        <t>[Threaded comment]
Your version of Excel allows you to read this threaded comment; however, any edits to it will get removed if the file is opened in a newer version of Excel. Learn more: https://go.microsoft.com/fwlink/?linkid=870924
Comment:
    FBI data</t>
      </text>
    </comment>
    <comment ref="V57" authorId="10" shapeId="0" xr:uid="{23EC0D86-0326-4A2D-A4DC-3AC412E32B66}">
      <text>
        <t>[Threaded comment]
Your version of Excel allows you to read this threaded comment; however, any edits to it will get removed if the file is opened in a newer version of Excel. Learn more: https://go.microsoft.com/fwlink/?linkid=870924
Comment:
    FBI data</t>
      </text>
    </comment>
    <comment ref="AH57" authorId="11" shapeId="0" xr:uid="{47D68CA4-6306-423E-9CB6-03CBFFE3DE0F}">
      <text>
        <t>[Threaded comment]
Your version of Excel allows you to read this threaded comment; however, any edits to it will get removed if the file is opened in a newer version of Excel. Learn more: https://go.microsoft.com/fwlink/?linkid=870924
Comment:
    FBI data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tc={2308159A-9502-487B-8DA3-836CD709066E}</author>
    <author>tc={1AB194C5-E9A2-4D2F-90B4-2662447CB20D}</author>
    <author>tc={76C1C505-A0CF-4748-8CF9-8F05236D8953}</author>
    <author>tc={9FAD4BEF-3116-4CC1-B79D-427F5FF6ADB3}</author>
    <author>tc={052ED597-73E3-49B3-9D6D-9CD90C80100D}</author>
    <author>tc={99506361-1B21-4528-9830-C682ECEE6014}</author>
    <author>tc={72E539AD-292C-44FA-955F-8363E292ABD6}</author>
    <author>tc={2B598B65-DBA5-433F-9743-65BAA34657D4}</author>
    <author>tc={F3F640C7-73AF-45E4-8714-02CB9EDE13AB}</author>
    <author>tc={1B3BF436-C0F7-4504-9243-8FF7F93AA2C7}</author>
    <author>tc={57B07ED4-E56C-432B-827C-AF3AF8501723}</author>
    <author>tc={99CC37BC-8205-4175-A678-5E8C5297B82C}</author>
  </authors>
  <commentList>
    <comment ref="A12" authorId="0" shapeId="0" xr:uid="{2308159A-9502-487B-8DA3-836CD709066E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enough murders in largest city</t>
      </text>
    </comment>
    <comment ref="A14" authorId="1" shapeId="0" xr:uid="{1AB194C5-E9A2-4D2F-90B4-2662447CB20D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enough murders in largest city</t>
      </text>
    </comment>
    <comment ref="A16" authorId="2" shapeId="0" xr:uid="{76C1C505-A0CF-4748-8CF9-8F05236D8953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enough murders in largest city</t>
      </text>
    </comment>
    <comment ref="A19" authorId="3" shapeId="0" xr:uid="{9FAD4BEF-3116-4CC1-B79D-427F5FF6ADB3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enough murders in largest city</t>
      </text>
    </comment>
    <comment ref="M19" authorId="4" shapeId="0" xr:uid="{052ED597-73E3-49B3-9D6D-9CD90C80100D}">
      <text>
        <t>[Threaded comment]
Your version of Excel allows you to read this threaded comment; however, any edits to it will get removed if the file is opened in a newer version of Excel. Learn more: https://go.microsoft.com/fwlink/?linkid=870924
Comment:
    FBI data</t>
      </text>
    </comment>
    <comment ref="S19" authorId="5" shapeId="0" xr:uid="{99506361-1B21-4528-9830-C682ECEE6014}">
      <text>
        <t>[Threaded comment]
Your version of Excel allows you to read this threaded comment; however, any edits to it will get removed if the file is opened in a newer version of Excel. Learn more: https://go.microsoft.com/fwlink/?linkid=870924
Comment:
    FBI data</t>
      </text>
    </comment>
    <comment ref="BC19" authorId="6" shapeId="0" xr:uid="{72E539AD-292C-44FA-955F-8363E292ABD6}">
      <text>
        <t>[Threaded comment]
Your version of Excel allows you to read this threaded comment; however, any edits to it will get removed if the file is opened in a newer version of Excel. Learn more: https://go.microsoft.com/fwlink/?linkid=870924
Comment:
    FBI data</t>
      </text>
    </comment>
    <comment ref="A22" authorId="7" shapeId="0" xr:uid="{2B598B65-DBA5-433F-9743-65BAA34657D4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enough murders in largest city</t>
      </text>
    </comment>
    <comment ref="A25" authorId="8" shapeId="0" xr:uid="{F3F640C7-73AF-45E4-8714-02CB9EDE13AB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enough murders in largest city</t>
      </text>
    </comment>
    <comment ref="A26" authorId="9" shapeId="0" xr:uid="{1B3BF436-C0F7-4504-9243-8FF7F93AA2C7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enough murders in largest city</t>
      </text>
    </comment>
    <comment ref="AQ26" authorId="10" shapeId="0" xr:uid="{57B07ED4-E56C-432B-827C-AF3AF8501723}">
      <text>
        <t>[Threaded comment]
Your version of Excel allows you to read this threaded comment; however, any edits to it will get removed if the file is opened in a newer version of Excel. Learn more: https://go.microsoft.com/fwlink/?linkid=870924
Comment:
    FBI data</t>
      </text>
    </comment>
    <comment ref="BO26" authorId="11" shapeId="0" xr:uid="{99CC37BC-8205-4175-A678-5E8C5297B82C}">
      <text>
        <t>[Threaded comment]
Your version of Excel allows you to read this threaded comment; however, any edits to it will get removed if the file is opened in a newer version of Excel. Learn more: https://go.microsoft.com/fwlink/?linkid=870924
Comment:
    FBI data</t>
      </text>
    </comment>
  </commentList>
</comments>
</file>

<file path=xl/sharedStrings.xml><?xml version="1.0" encoding="utf-8"?>
<sst xmlns="http://schemas.openxmlformats.org/spreadsheetml/2006/main" count="414" uniqueCount="144">
  <si>
    <t>State</t>
  </si>
  <si>
    <t>party</t>
  </si>
  <si>
    <t>Pop 2000</t>
  </si>
  <si>
    <t>Murders 2000</t>
  </si>
  <si>
    <t>Rate 2000</t>
  </si>
  <si>
    <t>Pop 2001</t>
  </si>
  <si>
    <t>Murders 2001</t>
  </si>
  <si>
    <t>Rate 2001</t>
  </si>
  <si>
    <t>Pop 2002</t>
  </si>
  <si>
    <t>Murders 2002</t>
  </si>
  <si>
    <t>Rate 2002</t>
  </si>
  <si>
    <t>Pop 2003</t>
  </si>
  <si>
    <t>Murders 2003</t>
  </si>
  <si>
    <t>Rate 2003</t>
  </si>
  <si>
    <t>Pop 2004</t>
  </si>
  <si>
    <t>Murders 2004</t>
  </si>
  <si>
    <t>Rate 2004</t>
  </si>
  <si>
    <t>Pop 2005</t>
  </si>
  <si>
    <t>Murders 2005</t>
  </si>
  <si>
    <t>Rate 2005</t>
  </si>
  <si>
    <t>Pop 2006</t>
  </si>
  <si>
    <t>Murders 2006</t>
  </si>
  <si>
    <t>Rate 2006</t>
  </si>
  <si>
    <t>Pop 2007</t>
  </si>
  <si>
    <t>Murders 2007</t>
  </si>
  <si>
    <t>Rate 2007</t>
  </si>
  <si>
    <t>Pop 2008</t>
  </si>
  <si>
    <t>Murders 2008</t>
  </si>
  <si>
    <t>Rate 2008</t>
  </si>
  <si>
    <t>Pop 2009</t>
  </si>
  <si>
    <t>Murders 2009</t>
  </si>
  <si>
    <t>Rate 2009</t>
  </si>
  <si>
    <t>Pop 2010</t>
  </si>
  <si>
    <t>Murders 2010</t>
  </si>
  <si>
    <t>Rate 2010</t>
  </si>
  <si>
    <t>Pop 2011</t>
  </si>
  <si>
    <t>Murders 2011</t>
  </si>
  <si>
    <t>Rate 2011</t>
  </si>
  <si>
    <t>Pop 2012</t>
  </si>
  <si>
    <t>Murders 2012</t>
  </si>
  <si>
    <t>Rate 2012</t>
  </si>
  <si>
    <t>Pop 2013</t>
  </si>
  <si>
    <t>Murders 2013</t>
  </si>
  <si>
    <t>Rate 2013</t>
  </si>
  <si>
    <t>Pop 2014</t>
  </si>
  <si>
    <t>Murders 2014</t>
  </si>
  <si>
    <t>Rate 2014</t>
  </si>
  <si>
    <t>Pop 2015</t>
  </si>
  <si>
    <t>Murders 2015</t>
  </si>
  <si>
    <t>Rate 2015</t>
  </si>
  <si>
    <t>Pop 2016</t>
  </si>
  <si>
    <t>Murders 2016</t>
  </si>
  <si>
    <t>Rate 2016</t>
  </si>
  <si>
    <t>Pop 2017</t>
  </si>
  <si>
    <t>Murders 2017</t>
  </si>
  <si>
    <t>Rate 2017</t>
  </si>
  <si>
    <t>Pop 2018</t>
  </si>
  <si>
    <t>Murders 2018</t>
  </si>
  <si>
    <t>Rate 2018</t>
  </si>
  <si>
    <t>Pop 2019</t>
  </si>
  <si>
    <t>Murders 2019</t>
  </si>
  <si>
    <t>Rate 2019</t>
  </si>
  <si>
    <t>Pop 2020</t>
  </si>
  <si>
    <t>Murders 2020</t>
  </si>
  <si>
    <t>Rate 2020</t>
  </si>
  <si>
    <t>Average</t>
  </si>
  <si>
    <t>AZ</t>
  </si>
  <si>
    <t>blue</t>
  </si>
  <si>
    <t>CA</t>
  </si>
  <si>
    <t xml:space="preserve">CO </t>
  </si>
  <si>
    <t>CT</t>
  </si>
  <si>
    <t xml:space="preserve">DE </t>
  </si>
  <si>
    <t>GA</t>
  </si>
  <si>
    <t>HI</t>
  </si>
  <si>
    <t>IL</t>
  </si>
  <si>
    <t>ME</t>
  </si>
  <si>
    <t>MD</t>
  </si>
  <si>
    <t>MA</t>
  </si>
  <si>
    <t>MI</t>
  </si>
  <si>
    <t>MN</t>
  </si>
  <si>
    <t>NV</t>
  </si>
  <si>
    <t>NH</t>
  </si>
  <si>
    <t>NJ</t>
  </si>
  <si>
    <t>NM</t>
  </si>
  <si>
    <t>NY</t>
  </si>
  <si>
    <t>OR</t>
  </si>
  <si>
    <t>PA</t>
  </si>
  <si>
    <t>RI</t>
  </si>
  <si>
    <t>VT</t>
  </si>
  <si>
    <t>VA</t>
  </si>
  <si>
    <t>WA</t>
  </si>
  <si>
    <t>WI</t>
  </si>
  <si>
    <t>change from 2000 to 2020</t>
  </si>
  <si>
    <t xml:space="preserve">AL </t>
  </si>
  <si>
    <t>red</t>
  </si>
  <si>
    <t xml:space="preserve">AK </t>
  </si>
  <si>
    <t>AR</t>
  </si>
  <si>
    <t>FL</t>
  </si>
  <si>
    <t>ID</t>
  </si>
  <si>
    <t>IN</t>
  </si>
  <si>
    <t>IA</t>
  </si>
  <si>
    <t>KS</t>
  </si>
  <si>
    <t>KY</t>
  </si>
  <si>
    <t>LA</t>
  </si>
  <si>
    <t>MS</t>
  </si>
  <si>
    <t>MO</t>
  </si>
  <si>
    <t>MT</t>
  </si>
  <si>
    <t>NE</t>
  </si>
  <si>
    <t>NC</t>
  </si>
  <si>
    <t>ND</t>
  </si>
  <si>
    <t>OH</t>
  </si>
  <si>
    <t>OK</t>
  </si>
  <si>
    <t>SC</t>
  </si>
  <si>
    <t>SD</t>
  </si>
  <si>
    <t>TN</t>
  </si>
  <si>
    <t>TX</t>
  </si>
  <si>
    <t>UT</t>
  </si>
  <si>
    <t>WV</t>
  </si>
  <si>
    <t>WY</t>
  </si>
  <si>
    <t>% difference between red and blue</t>
  </si>
  <si>
    <t>blue states</t>
  </si>
  <si>
    <t>red states</t>
  </si>
  <si>
    <t>Year</t>
  </si>
  <si>
    <t>Per capita murder gap</t>
  </si>
  <si>
    <t>Party</t>
  </si>
  <si>
    <t>AL- Madison County (Huntsville)</t>
  </si>
  <si>
    <t>AR- Pulaski County (Little Rock)</t>
  </si>
  <si>
    <t>KY- Jefferson County (Louisville)</t>
  </si>
  <si>
    <t>LA- Orleans Parish (New Orleans)</t>
  </si>
  <si>
    <t>MS- Hinds County (Jackson)</t>
  </si>
  <si>
    <t>MO- Jackson County (Kansas City)</t>
  </si>
  <si>
    <t>SC- Charleston County (Charleston)</t>
  </si>
  <si>
    <t>TN- Davidson County (Nashville)</t>
  </si>
  <si>
    <t>AK- Anchorage Borough (Anchorage)</t>
  </si>
  <si>
    <t>FL- Duval County (Jacksonville)</t>
  </si>
  <si>
    <t>IN- Marion County (Indianapolis)</t>
  </si>
  <si>
    <t>KS- Sedgwick County (Wichita)</t>
  </si>
  <si>
    <t>NE- Douglas County (Omaha)</t>
  </si>
  <si>
    <t>NC- Mecklenburg County (Charlotte)</t>
  </si>
  <si>
    <t>OH- Franklin County (Columbus)</t>
  </si>
  <si>
    <t>OK- Oklahoma County (Oklahoma City)</t>
  </si>
  <si>
    <t>TX- Harris County (Houston)</t>
  </si>
  <si>
    <t>UT- Salt Lake County (Salt Lake City)</t>
  </si>
  <si>
    <t>WV- Kanawha County (Charleston)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</si>
</sst>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0"/>
    <numFmt numFmtId="165" formatCode="0.000000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2" fontId="3" fillId="0" borderId="0" xfId="0" applyNumberFormat="1" applyFont="1"/>
    <xf numFmtId="3" fontId="4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166" fontId="3" fillId="0" borderId="0" xfId="1" applyNumberFormat="1" applyFont="1"/>
    <xf numFmtId="9" fontId="3" fillId="0" borderId="0" xfId="1" applyFont="1"/>
    <xf numFmtId="9" fontId="3" fillId="0" borderId="0" xfId="0" applyNumberFormat="1" applyFont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2" fontId="3" fillId="2" borderId="0" xfId="0" applyNumberFormat="1" applyFont="1" applyFill="1"/>
    <xf numFmtId="9" fontId="3" fillId="0" borderId="0" xfId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The Murder Rate in Trump-Voting</a:t>
            </a:r>
            <a:r>
              <a:rPr lang="en-US" b="1" baseline="0"/>
              <a:t> States Has Exceeded the Rate in Biden-Voting States Every Year This Century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Biden-Voting States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'[1]Blue v Red'!$B$65:$V$65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'[1]Blue v Red'!$B$66:$V$66</c:f>
              <c:numCache>
                <c:formatCode>0.00</c:formatCode>
                <c:ptCount val="21"/>
                <c:pt idx="0">
                  <c:v>5.4654014493708605</c:v>
                </c:pt>
                <c:pt idx="1">
                  <c:v>5.6520836453872798</c:v>
                </c:pt>
                <c:pt idx="2">
                  <c:v>5.7149982058424929</c:v>
                </c:pt>
                <c:pt idx="3">
                  <c:v>5.76342776959308</c:v>
                </c:pt>
                <c:pt idx="4">
                  <c:v>5.6002736822295471</c:v>
                </c:pt>
                <c:pt idx="5">
                  <c:v>5.7654474451153952</c:v>
                </c:pt>
                <c:pt idx="6">
                  <c:v>5.805586828820184</c:v>
                </c:pt>
                <c:pt idx="7">
                  <c:v>5.5154748645681941</c:v>
                </c:pt>
                <c:pt idx="8">
                  <c:v>5.2525413851130134</c:v>
                </c:pt>
                <c:pt idx="9">
                  <c:v>4.8899817117046567</c:v>
                </c:pt>
                <c:pt idx="10">
                  <c:v>4.8047279193075187</c:v>
                </c:pt>
                <c:pt idx="11">
                  <c:v>4.6788968812921068</c:v>
                </c:pt>
                <c:pt idx="12">
                  <c:v>4.7402313240609084</c:v>
                </c:pt>
                <c:pt idx="13">
                  <c:v>4.4874782515024849</c:v>
                </c:pt>
                <c:pt idx="14">
                  <c:v>4.3753852085701466</c:v>
                </c:pt>
                <c:pt idx="15">
                  <c:v>4.8932941797466452</c:v>
                </c:pt>
                <c:pt idx="16">
                  <c:v>5.2294917668506056</c:v>
                </c:pt>
                <c:pt idx="17">
                  <c:v>5.1373688541283844</c:v>
                </c:pt>
                <c:pt idx="18">
                  <c:v>4.926374706387425</c:v>
                </c:pt>
                <c:pt idx="19">
                  <c:v>4.86543390530725</c:v>
                </c:pt>
                <c:pt idx="20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95-4F9B-9BF3-C8D6D9F3A538}"/>
            </c:ext>
          </c:extLst>
        </c:ser>
        <c:ser>
          <c:idx val="1"/>
          <c:order val="1"/>
          <c:tx>
            <c:v>Trump-Voting States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'[1]Blue v Red'!$B$65:$V$65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'[1]Blue v Red'!$B$67:$V$67</c:f>
              <c:numCache>
                <c:formatCode>0.00</c:formatCode>
                <c:ptCount val="21"/>
                <c:pt idx="0">
                  <c:v>6.3452043198489143</c:v>
                </c:pt>
                <c:pt idx="1">
                  <c:v>6.4351567629897346</c:v>
                </c:pt>
                <c:pt idx="2">
                  <c:v>6.3804198055806767</c:v>
                </c:pt>
                <c:pt idx="3">
                  <c:v>6.2930265388155622</c:v>
                </c:pt>
                <c:pt idx="4">
                  <c:v>6.1180969427393865</c:v>
                </c:pt>
                <c:pt idx="5">
                  <c:v>6.3404629078753372</c:v>
                </c:pt>
                <c:pt idx="6">
                  <c:v>6.5030299399579121</c:v>
                </c:pt>
                <c:pt idx="7">
                  <c:v>6.6181074877669559</c:v>
                </c:pt>
                <c:pt idx="8">
                  <c:v>6.4118118640590094</c:v>
                </c:pt>
                <c:pt idx="9">
                  <c:v>6.0089866123656543</c:v>
                </c:pt>
                <c:pt idx="10">
                  <c:v>5.61017780154486</c:v>
                </c:pt>
                <c:pt idx="11">
                  <c:v>5.7075130245600141</c:v>
                </c:pt>
                <c:pt idx="12">
                  <c:v>5.8826715667560237</c:v>
                </c:pt>
                <c:pt idx="13">
                  <c:v>5.698473015056063</c:v>
                </c:pt>
                <c:pt idx="14">
                  <c:v>5.7695082997014957</c:v>
                </c:pt>
                <c:pt idx="15">
                  <c:v>6.3634584678424684</c:v>
                </c:pt>
                <c:pt idx="16">
                  <c:v>6.9626338745990326</c:v>
                </c:pt>
                <c:pt idx="17">
                  <c:v>7.1088070830157815</c:v>
                </c:pt>
                <c:pt idx="18">
                  <c:v>6.8064733372718003</c:v>
                </c:pt>
                <c:pt idx="19">
                  <c:v>7.0303959968862495</c:v>
                </c:pt>
                <c:pt idx="20">
                  <c:v>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95-4F9B-9BF3-C8D6D9F3A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1399744"/>
        <c:axId val="1761409312"/>
      </c:lineChart>
      <c:catAx>
        <c:axId val="1761399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409312"/>
        <c:crosses val="autoZero"/>
        <c:auto val="1"/>
        <c:lblAlgn val="ctr"/>
        <c:lblOffset val="100"/>
        <c:noMultiLvlLbl val="0"/>
      </c:catAx>
      <c:valAx>
        <c:axId val="1761409312"/>
        <c:scaling>
          <c:orientation val="minMax"/>
          <c:max val="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Murder Rate (per 100,000)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39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52561</xdr:colOff>
      <xdr:row>73</xdr:row>
      <xdr:rowOff>82198</xdr:rowOff>
    </xdr:from>
    <xdr:to>
      <xdr:col>11</xdr:col>
      <xdr:colOff>656165</xdr:colOff>
      <xdr:row>91</xdr:row>
      <xdr:rowOff>31751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CA29C5-ECBF-49CC-B140-7171957711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rime%20Data%202000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BI Murder"/>
      <sheetName val="Violent Crime"/>
      <sheetName val="VC Rates"/>
      <sheetName val="FBI vs. CDC"/>
      <sheetName val="CDC"/>
      <sheetName val="CDC Rates"/>
      <sheetName val="Blue v Red"/>
      <sheetName val="Top 10s murder"/>
      <sheetName val="Minus county w. largest city"/>
      <sheetName val="Top 10s VC"/>
    </sheetNames>
    <sheetDataSet>
      <sheetData sheetId="0"/>
      <sheetData sheetId="1"/>
      <sheetData sheetId="2"/>
      <sheetData sheetId="3"/>
      <sheetData sheetId="4"/>
      <sheetData sheetId="5"/>
      <sheetData sheetId="6">
        <row r="65">
          <cell r="B65">
            <v>2000</v>
          </cell>
          <cell r="C65">
            <v>2001</v>
          </cell>
          <cell r="D65">
            <v>2002</v>
          </cell>
          <cell r="E65">
            <v>2003</v>
          </cell>
          <cell r="F65">
            <v>2004</v>
          </cell>
          <cell r="G65">
            <v>2005</v>
          </cell>
          <cell r="H65">
            <v>2006</v>
          </cell>
          <cell r="I65">
            <v>2007</v>
          </cell>
          <cell r="J65">
            <v>2008</v>
          </cell>
          <cell r="K65">
            <v>2009</v>
          </cell>
          <cell r="L65">
            <v>2010</v>
          </cell>
          <cell r="M65">
            <v>2011</v>
          </cell>
          <cell r="N65">
            <v>2012</v>
          </cell>
          <cell r="O65">
            <v>2013</v>
          </cell>
          <cell r="P65">
            <v>2014</v>
          </cell>
          <cell r="Q65">
            <v>2015</v>
          </cell>
          <cell r="R65">
            <v>2016</v>
          </cell>
          <cell r="S65">
            <v>2017</v>
          </cell>
          <cell r="T65">
            <v>2018</v>
          </cell>
          <cell r="U65">
            <v>2019</v>
          </cell>
          <cell r="V65">
            <v>2020</v>
          </cell>
        </row>
        <row r="66">
          <cell r="B66">
            <v>5.4654014493708605</v>
          </cell>
          <cell r="C66">
            <v>5.6520836453872798</v>
          </cell>
          <cell r="D66">
            <v>5.7149982058424929</v>
          </cell>
          <cell r="E66">
            <v>5.76342776959308</v>
          </cell>
          <cell r="F66">
            <v>5.6002736822295471</v>
          </cell>
          <cell r="G66">
            <v>5.7654474451153952</v>
          </cell>
          <cell r="H66">
            <v>5.805586828820184</v>
          </cell>
          <cell r="I66">
            <v>5.5154748645681941</v>
          </cell>
          <cell r="J66">
            <v>5.2525413851130134</v>
          </cell>
          <cell r="K66">
            <v>4.8899817117046567</v>
          </cell>
          <cell r="L66">
            <v>4.8047279193075187</v>
          </cell>
          <cell r="M66">
            <v>4.6788968812921068</v>
          </cell>
          <cell r="N66">
            <v>4.7402313240609084</v>
          </cell>
          <cell r="O66">
            <v>4.4874782515024849</v>
          </cell>
          <cell r="P66">
            <v>4.3753852085701466</v>
          </cell>
          <cell r="Q66">
            <v>4.8932941797466452</v>
          </cell>
          <cell r="R66">
            <v>5.2294917668506056</v>
          </cell>
          <cell r="S66">
            <v>5.1373688541283844</v>
          </cell>
          <cell r="T66">
            <v>4.926374706387425</v>
          </cell>
          <cell r="U66">
            <v>4.86543390530725</v>
          </cell>
          <cell r="V66">
            <v>6.2</v>
          </cell>
        </row>
        <row r="67">
          <cell r="B67">
            <v>6.3452043198489143</v>
          </cell>
          <cell r="C67">
            <v>6.4351567629897346</v>
          </cell>
          <cell r="D67">
            <v>6.3804198055806767</v>
          </cell>
          <cell r="E67">
            <v>6.2930265388155622</v>
          </cell>
          <cell r="F67">
            <v>6.1180969427393865</v>
          </cell>
          <cell r="G67">
            <v>6.3404629078753372</v>
          </cell>
          <cell r="H67">
            <v>6.5030299399579121</v>
          </cell>
          <cell r="I67">
            <v>6.6181074877669559</v>
          </cell>
          <cell r="J67">
            <v>6.4118118640590094</v>
          </cell>
          <cell r="K67">
            <v>6.0089866123656543</v>
          </cell>
          <cell r="L67">
            <v>5.61017780154486</v>
          </cell>
          <cell r="M67">
            <v>5.7075130245600141</v>
          </cell>
          <cell r="N67">
            <v>5.8826715667560237</v>
          </cell>
          <cell r="O67">
            <v>5.698473015056063</v>
          </cell>
          <cell r="P67">
            <v>5.7695082997014957</v>
          </cell>
          <cell r="Q67">
            <v>6.3634584678424684</v>
          </cell>
          <cell r="R67">
            <v>6.9626338745990326</v>
          </cell>
          <cell r="S67">
            <v>7.1088070830157815</v>
          </cell>
          <cell r="T67">
            <v>6.8064733372718003</v>
          </cell>
          <cell r="U67">
            <v>7.0303959968862495</v>
          </cell>
          <cell r="V67">
            <v>8.84</v>
          </cell>
        </row>
      </sheetData>
      <sheetData sheetId="7"/>
      <sheetData sheetId="8"/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ylie Murdock" id="{2C27322E-3BF8-469A-9025-88A243716951}" userId="S::kmurdock@thirdway.org::8ae1d016-513a-4405-98d4-fd1d340eb89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6" dT="2022-11-28T20:59:49.53" personId="{2C27322E-3BF8-469A-9025-88A243716951}" id="{2D6E6345-9402-4997-A1BA-A2D58AD7B3C5}">
    <text>FBI data</text>
  </threadedComment>
  <threadedComment ref="J23" dT="2022-11-28T20:59:58.26" personId="{2C27322E-3BF8-469A-9025-88A243716951}" id="{7619BAEC-3649-4B50-BD67-459D87D6BC09}">
    <text>FBI data</text>
  </threadedComment>
  <threadedComment ref="AE23" dT="2022-11-28T21:00:11.51" personId="{2C27322E-3BF8-469A-9025-88A243716951}" id="{51D77130-2205-468B-B853-8DF925AD2FBD}">
    <text>FBI data</text>
  </threadedComment>
  <threadedComment ref="AH23" dT="2022-11-28T21:00:20.99" personId="{2C27322E-3BF8-469A-9025-88A243716951}" id="{B5ABA71D-E7C9-4A7F-AE69-3C77CB2B22A0}">
    <text>FBI data</text>
  </threadedComment>
  <threadedComment ref="AK23" dT="2022-11-28T21:00:34.39" personId="{2C27322E-3BF8-469A-9025-88A243716951}" id="{60AF747B-80A9-4C51-AC39-D38B54E92F42}">
    <text>FBI data</text>
  </threadedComment>
  <threadedComment ref="AN23" dT="2022-11-28T21:00:42.97" personId="{2C27322E-3BF8-469A-9025-88A243716951}" id="{13793E97-42A0-45D2-B893-03B5974E0F20}">
    <text>FBI data</text>
  </threadedComment>
  <threadedComment ref="AQ23" dT="2022-11-28T21:00:49.25" personId="{2C27322E-3BF8-469A-9025-88A243716951}" id="{754E874F-E2BA-45A4-BE77-75CA4964FCA8}">
    <text>FBI data</text>
  </threadedComment>
  <threadedComment ref="G48" dT="2022-11-28T21:01:05.22" personId="{2C27322E-3BF8-469A-9025-88A243716951}" id="{304BFA2E-934C-4639-8704-ACD8236324A5}">
    <text>FBI data</text>
  </threadedComment>
  <threadedComment ref="J48" dT="2022-11-28T21:01:10.94" personId="{2C27322E-3BF8-469A-9025-88A243716951}" id="{FCBA436E-07F7-434A-9CEF-B97F556518BD}">
    <text>FBI data</text>
  </threadedComment>
  <threadedComment ref="AB48" dT="2022-11-28T21:01:29.17" personId="{2C27322E-3BF8-469A-9025-88A243716951}" id="{45DA30EB-0AC5-4070-8933-2CD4264E6F85}">
    <text>FBI data</text>
  </threadedComment>
  <threadedComment ref="V57" dT="2022-11-28T21:01:21.80" personId="{2C27322E-3BF8-469A-9025-88A243716951}" id="{23EC0D86-0326-4A2D-A4DC-3AC412E32B66}">
    <text>FBI data</text>
  </threadedComment>
  <threadedComment ref="AH57" dT="2022-11-28T21:01:36.48" personId="{2C27322E-3BF8-469A-9025-88A243716951}" id="{47D68CA4-6306-423E-9CB6-03CBFFE3DE0F}">
    <text>FBI data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2" dT="2022-11-29T16:33:50.11" personId="{2C27322E-3BF8-469A-9025-88A243716951}" id="{2308159A-9502-487B-8DA3-836CD709066E}">
    <text>Not enough murders in largest city</text>
  </threadedComment>
  <threadedComment ref="A14" dT="2022-11-29T18:01:03.18" personId="{2C27322E-3BF8-469A-9025-88A243716951}" id="{1AB194C5-E9A2-4D2F-90B4-2662447CB20D}">
    <text>Not enough murders in largest city</text>
  </threadedComment>
  <threadedComment ref="A16" dT="2022-11-29T18:13:55.30" personId="{2C27322E-3BF8-469A-9025-88A243716951}" id="{76C1C505-A0CF-4748-8CF9-8F05236D8953}">
    <text>Not enough murders in largest city</text>
  </threadedComment>
  <threadedComment ref="A19" dT="2022-11-29T18:26:03.76" personId="{2C27322E-3BF8-469A-9025-88A243716951}" id="{9FAD4BEF-3116-4CC1-B79D-427F5FF6ADB3}">
    <text>Not enough murders in largest city</text>
  </threadedComment>
  <threadedComment ref="M19" dT="2022-11-28T21:01:05.22" personId="{2C27322E-3BF8-469A-9025-88A243716951}" id="{052ED597-73E3-49B3-9D6D-9CD90C80100D}">
    <text>FBI data</text>
  </threadedComment>
  <threadedComment ref="S19" dT="2022-11-28T21:01:10.94" personId="{2C27322E-3BF8-469A-9025-88A243716951}" id="{99506361-1B21-4528-9830-C682ECEE6014}">
    <text>FBI data</text>
  </threadedComment>
  <threadedComment ref="BC19" dT="2022-11-28T21:01:29.17" personId="{2C27322E-3BF8-469A-9025-88A243716951}" id="{72E539AD-292C-44FA-955F-8363E292ABD6}">
    <text>FBI data</text>
  </threadedComment>
  <threadedComment ref="A22" dT="2022-11-29T16:34:48.27" personId="{2C27322E-3BF8-469A-9025-88A243716951}" id="{2B598B65-DBA5-433F-9743-65BAA34657D4}">
    <text>Not enough murders in largest city</text>
  </threadedComment>
  <threadedComment ref="A25" dT="2022-11-29T19:29:24.90" personId="{2C27322E-3BF8-469A-9025-88A243716951}" id="{F3F640C7-73AF-45E4-8714-02CB9EDE13AB}">
    <text>Not enough murders in largest city</text>
  </threadedComment>
  <threadedComment ref="A26" dT="2022-11-29T16:34:57.87" personId="{2C27322E-3BF8-469A-9025-88A243716951}" id="{1B3BF436-C0F7-4504-9243-8FF7F93AA2C7}">
    <text>Not enough murders in largest city</text>
  </threadedComment>
  <threadedComment ref="AQ26" dT="2022-11-28T21:01:21.80" personId="{2C27322E-3BF8-469A-9025-88A243716951}" id="{57B07ED4-E56C-432B-827C-AF3AF8501723}">
    <text>FBI data</text>
  </threadedComment>
  <threadedComment ref="BO26" dT="2022-11-28T21:01:36.48" personId="{2C27322E-3BF8-469A-9025-88A243716951}" id="{99CC37BC-8205-4175-A678-5E8C5297B82C}">
    <text>FBI data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4DA26-9FD8-4A67-962F-CB76139C39CE}">
  <dimension ref="A1:EB93"/>
  <sheetViews>
    <sheetView tabSelected="1" workbookViewId="0">
      <selection activeCell="BK29" sqref="BK29"/>
    </sheetView>
  </sheetViews>
  <sheetFormatPr defaultRowHeight="14" x14ac:dyDescent="0.3"/>
  <cols>
    <col min="1" max="2" width="8.7265625" style="3"/>
    <col min="3" max="3" width="12.08984375" style="3" customWidth="1"/>
    <col min="4" max="5" width="8.7265625" style="3"/>
    <col min="6" max="6" width="11" style="3" customWidth="1"/>
    <col min="7" max="8" width="8.7265625" style="3"/>
    <col min="9" max="9" width="11.81640625" style="3" customWidth="1"/>
    <col min="10" max="11" width="8.7265625" style="3"/>
    <col min="12" max="12" width="11.1796875" style="3" customWidth="1"/>
    <col min="13" max="14" width="8.7265625" style="3"/>
    <col min="15" max="15" width="11.7265625" style="3" customWidth="1"/>
    <col min="16" max="17" width="8.7265625" style="3"/>
    <col min="18" max="18" width="11.36328125" style="3" customWidth="1"/>
    <col min="19" max="20" width="8.7265625" style="3"/>
    <col min="21" max="21" width="11.26953125" style="3" customWidth="1"/>
    <col min="22" max="23" width="8.7265625" style="3"/>
    <col min="24" max="24" width="11.1796875" style="3" customWidth="1"/>
    <col min="25" max="26" width="8.7265625" style="3"/>
    <col min="27" max="27" width="11.08984375" style="3" customWidth="1"/>
    <col min="28" max="29" width="8.7265625" style="3"/>
    <col min="30" max="30" width="10.81640625" style="3" customWidth="1"/>
    <col min="31" max="32" width="8.7265625" style="3"/>
    <col min="33" max="33" width="10.90625" style="3" customWidth="1"/>
    <col min="34" max="35" width="8.7265625" style="3"/>
    <col min="36" max="36" width="11" style="3" customWidth="1"/>
    <col min="37" max="38" width="8.7265625" style="3"/>
    <col min="39" max="39" width="10.81640625" style="3" customWidth="1"/>
    <col min="40" max="41" width="8.7265625" style="3"/>
    <col min="42" max="42" width="11.36328125" style="3" customWidth="1"/>
    <col min="43" max="44" width="8.7265625" style="3"/>
    <col min="45" max="45" width="10.81640625" style="3" customWidth="1"/>
    <col min="46" max="47" width="8.7265625" style="3"/>
    <col min="48" max="48" width="10.81640625" style="3" customWidth="1"/>
    <col min="49" max="50" width="8.7265625" style="3"/>
    <col min="51" max="51" width="11.54296875" style="3" customWidth="1"/>
    <col min="52" max="53" width="8.7265625" style="3"/>
    <col min="54" max="54" width="11.1796875" style="3" customWidth="1"/>
    <col min="55" max="56" width="8.7265625" style="3"/>
    <col min="57" max="57" width="11.36328125" style="3" customWidth="1"/>
    <col min="58" max="59" width="8.7265625" style="3"/>
    <col min="60" max="60" width="11.453125" style="3" customWidth="1"/>
    <col min="61" max="62" width="8.7265625" style="3"/>
    <col min="63" max="63" width="11.90625" style="3" customWidth="1"/>
    <col min="64" max="65" width="8.7265625" style="3"/>
    <col min="66" max="66" width="10.81640625" style="3" customWidth="1"/>
    <col min="67" max="67" width="8.7265625" style="3"/>
    <col min="68" max="68" width="14.6328125" style="3" customWidth="1"/>
    <col min="69" max="69" width="10.90625" style="3" customWidth="1"/>
    <col min="70" max="70" width="11.453125" style="3" customWidth="1"/>
    <col min="71" max="72" width="8.7265625" style="3"/>
    <col min="73" max="73" width="10.6328125" style="3" customWidth="1"/>
    <col min="74" max="75" width="8.7265625" style="3"/>
    <col min="76" max="76" width="10.81640625" style="3" customWidth="1"/>
    <col min="77" max="78" width="8.7265625" style="3"/>
    <col min="79" max="79" width="11.1796875" style="3" customWidth="1"/>
    <col min="80" max="81" width="8.7265625" style="3"/>
    <col min="82" max="82" width="11.81640625" style="3" customWidth="1"/>
    <col min="83" max="16384" width="8.7265625" style="3"/>
  </cols>
  <sheetData>
    <row r="1" spans="1:13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2" t="s">
        <v>65</v>
      </c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 t="s">
        <v>54</v>
      </c>
      <c r="DS1" s="1" t="s">
        <v>55</v>
      </c>
      <c r="DT1" s="1" t="s">
        <v>56</v>
      </c>
      <c r="DU1" s="1" t="s">
        <v>57</v>
      </c>
      <c r="DV1" s="1" t="s">
        <v>58</v>
      </c>
      <c r="DW1" s="1" t="s">
        <v>59</v>
      </c>
      <c r="DX1" s="1" t="s">
        <v>60</v>
      </c>
      <c r="DY1" s="1" t="s">
        <v>61</v>
      </c>
      <c r="DZ1" s="1" t="s">
        <v>62</v>
      </c>
      <c r="EA1" s="1" t="s">
        <v>63</v>
      </c>
      <c r="EB1" s="1" t="s">
        <v>64</v>
      </c>
    </row>
    <row r="2" spans="1:132" x14ac:dyDescent="0.3">
      <c r="A2" s="3" t="s">
        <v>66</v>
      </c>
      <c r="B2" s="3" t="s">
        <v>67</v>
      </c>
      <c r="C2" s="4">
        <v>5160586</v>
      </c>
      <c r="D2" s="3">
        <v>405</v>
      </c>
      <c r="E2" s="5">
        <v>7.8479459503242452</v>
      </c>
      <c r="F2" s="4">
        <v>5273477</v>
      </c>
      <c r="G2" s="3">
        <v>486</v>
      </c>
      <c r="H2" s="5">
        <v>9.2159309692637326</v>
      </c>
      <c r="I2" s="4">
        <v>5396255</v>
      </c>
      <c r="J2" s="3">
        <v>499</v>
      </c>
      <c r="K2" s="5">
        <v>9.2471538131537514</v>
      </c>
      <c r="L2" s="4">
        <v>5510364</v>
      </c>
      <c r="M2" s="3">
        <v>495</v>
      </c>
      <c r="N2" s="5">
        <v>8.9830726246033841</v>
      </c>
      <c r="O2" s="4">
        <v>5652404</v>
      </c>
      <c r="P2" s="3">
        <v>504</v>
      </c>
      <c r="Q2" s="5">
        <v>8.9165601043379059</v>
      </c>
      <c r="R2" s="4">
        <v>5839077</v>
      </c>
      <c r="S2" s="3">
        <v>527</v>
      </c>
      <c r="T2" s="5">
        <v>9.0253990485140037</v>
      </c>
      <c r="U2" s="4">
        <v>6029141</v>
      </c>
      <c r="V2" s="3">
        <v>542</v>
      </c>
      <c r="W2" s="5">
        <v>8.9896719947335786</v>
      </c>
      <c r="X2" s="4">
        <v>6167681</v>
      </c>
      <c r="Y2" s="3">
        <v>521</v>
      </c>
      <c r="Z2" s="5">
        <v>8.4472591886642636</v>
      </c>
      <c r="AA2" s="4">
        <v>6280362</v>
      </c>
      <c r="AB2" s="3">
        <v>471</v>
      </c>
      <c r="AC2" s="5">
        <v>7.4995677000784351</v>
      </c>
      <c r="AD2" s="4">
        <v>6343154</v>
      </c>
      <c r="AE2" s="3">
        <v>380</v>
      </c>
      <c r="AF2" s="5">
        <v>5.9907106149401379</v>
      </c>
      <c r="AG2" s="6">
        <v>6407342</v>
      </c>
      <c r="AH2" s="3">
        <v>413</v>
      </c>
      <c r="AI2" s="5">
        <v>6.4457305384978669</v>
      </c>
      <c r="AJ2" s="6">
        <v>6473416</v>
      </c>
      <c r="AK2" s="3">
        <v>397</v>
      </c>
      <c r="AL2" s="5">
        <v>6.1327744115317167</v>
      </c>
      <c r="AM2" s="6">
        <v>6556344</v>
      </c>
      <c r="AN2" s="3">
        <v>384</v>
      </c>
      <c r="AO2" s="5">
        <v>5.8569226996020953</v>
      </c>
      <c r="AP2" s="6">
        <v>6634690</v>
      </c>
      <c r="AQ2" s="3">
        <v>382</v>
      </c>
      <c r="AR2" s="5">
        <v>5.7576164070966396</v>
      </c>
      <c r="AS2" s="6">
        <v>6732873</v>
      </c>
      <c r="AT2" s="3">
        <v>322</v>
      </c>
      <c r="AU2" s="5">
        <v>4.7825051801808822</v>
      </c>
      <c r="AV2" s="6">
        <v>6832810</v>
      </c>
      <c r="AW2" s="3">
        <v>364</v>
      </c>
      <c r="AX2" s="5">
        <v>5.3272372567069777</v>
      </c>
      <c r="AY2" s="6">
        <v>6944767</v>
      </c>
      <c r="AZ2" s="3">
        <v>420</v>
      </c>
      <c r="BA2" s="5">
        <v>6.0477190955434503</v>
      </c>
      <c r="BB2" s="6">
        <v>7048088</v>
      </c>
      <c r="BC2" s="3">
        <v>441</v>
      </c>
      <c r="BD2" s="5">
        <v>6.2570160871998199</v>
      </c>
      <c r="BE2" s="6">
        <v>7164228</v>
      </c>
      <c r="BF2" s="3">
        <v>420</v>
      </c>
      <c r="BG2" s="5">
        <v>5.8624599887105768</v>
      </c>
      <c r="BH2" s="6">
        <v>7291843</v>
      </c>
      <c r="BI2" s="3">
        <v>414</v>
      </c>
      <c r="BJ2" s="5">
        <v>5.6775769856811236</v>
      </c>
      <c r="BK2" s="6">
        <v>7279000</v>
      </c>
      <c r="BL2" s="3">
        <v>522</v>
      </c>
      <c r="BM2" s="5">
        <f>(BL2/BK2)*100000</f>
        <v>7.1713147410358564</v>
      </c>
      <c r="BR2" s="4"/>
      <c r="BT2" s="5"/>
      <c r="BU2" s="4"/>
      <c r="BW2" s="5"/>
      <c r="BX2" s="4"/>
      <c r="BZ2" s="5"/>
      <c r="CA2" s="4"/>
      <c r="CC2" s="5"/>
      <c r="CD2" s="4"/>
      <c r="CF2" s="5"/>
      <c r="CG2" s="4"/>
      <c r="CI2" s="5"/>
      <c r="CJ2" s="4"/>
      <c r="CL2" s="5"/>
      <c r="CM2" s="4"/>
      <c r="CO2" s="5"/>
      <c r="CP2" s="4"/>
      <c r="CR2" s="5"/>
      <c r="CS2" s="4"/>
      <c r="CU2" s="5"/>
      <c r="CV2" s="6"/>
      <c r="CX2" s="5"/>
      <c r="CY2" s="6"/>
      <c r="DA2" s="5"/>
      <c r="DB2" s="6"/>
      <c r="DD2" s="5"/>
      <c r="DE2" s="6"/>
      <c r="DG2" s="5"/>
      <c r="DH2" s="6"/>
      <c r="DJ2" s="5"/>
      <c r="DK2" s="6"/>
      <c r="DM2" s="5"/>
      <c r="DN2" s="6"/>
      <c r="DP2" s="5"/>
      <c r="DQ2" s="6"/>
      <c r="DR2" s="3">
        <v>602</v>
      </c>
      <c r="DS2" s="5">
        <v>12.341151240808456</v>
      </c>
      <c r="DT2" s="6">
        <v>4891628</v>
      </c>
      <c r="DU2" s="3">
        <v>568</v>
      </c>
      <c r="DV2" s="5">
        <v>11.611676112737927</v>
      </c>
      <c r="DW2" s="6">
        <v>4907965</v>
      </c>
      <c r="DX2" s="3">
        <v>587</v>
      </c>
      <c r="DY2" s="5">
        <v>11.960150490070733</v>
      </c>
      <c r="DZ2" s="6">
        <v>4903000</v>
      </c>
      <c r="EA2" s="3">
        <v>696</v>
      </c>
      <c r="EB2" s="5">
        <v>14.195390577197633</v>
      </c>
    </row>
    <row r="3" spans="1:132" x14ac:dyDescent="0.3">
      <c r="A3" s="3" t="s">
        <v>68</v>
      </c>
      <c r="B3" s="3" t="s">
        <v>67</v>
      </c>
      <c r="C3" s="4">
        <v>33987977</v>
      </c>
      <c r="D3" s="3">
        <v>2041</v>
      </c>
      <c r="E3" s="5">
        <v>6.0050646733108</v>
      </c>
      <c r="F3" s="4">
        <v>34479458</v>
      </c>
      <c r="G3" s="3">
        <v>2150</v>
      </c>
      <c r="H3" s="5">
        <v>6.2355968588601369</v>
      </c>
      <c r="I3" s="4">
        <v>34871843</v>
      </c>
      <c r="J3" s="3">
        <v>2442</v>
      </c>
      <c r="K3" s="5">
        <v>7.0027844527746925</v>
      </c>
      <c r="L3" s="4">
        <v>35253159</v>
      </c>
      <c r="M3" s="3">
        <v>2446</v>
      </c>
      <c r="N3" s="5">
        <v>6.9383852947759941</v>
      </c>
      <c r="O3" s="4">
        <v>35574576</v>
      </c>
      <c r="P3" s="3">
        <v>2452</v>
      </c>
      <c r="Q3" s="5">
        <v>6.8925628235175589</v>
      </c>
      <c r="R3" s="4">
        <v>35827943</v>
      </c>
      <c r="S3" s="3">
        <v>2504</v>
      </c>
      <c r="T3" s="5">
        <v>6.9889583111148745</v>
      </c>
      <c r="U3" s="4">
        <v>36021202</v>
      </c>
      <c r="V3" s="3">
        <v>2555</v>
      </c>
      <c r="W3" s="5">
        <v>7.0930448128854788</v>
      </c>
      <c r="X3" s="4">
        <v>36250311</v>
      </c>
      <c r="Y3" s="3">
        <v>2335</v>
      </c>
      <c r="Z3" s="5">
        <v>6.4413240482267859</v>
      </c>
      <c r="AA3" s="4">
        <v>36604337</v>
      </c>
      <c r="AB3" s="3">
        <v>2213</v>
      </c>
      <c r="AC3" s="5">
        <v>6.0457316847454443</v>
      </c>
      <c r="AD3" s="4">
        <v>36961229</v>
      </c>
      <c r="AE3" s="3">
        <v>2078</v>
      </c>
      <c r="AF3" s="5">
        <v>5.622107425053426</v>
      </c>
      <c r="AG3" s="6">
        <v>37319550</v>
      </c>
      <c r="AH3" s="3">
        <v>1905</v>
      </c>
      <c r="AI3" s="5">
        <v>5.1045631579158917</v>
      </c>
      <c r="AJ3" s="6">
        <v>37636311</v>
      </c>
      <c r="AK3" s="3">
        <v>1875</v>
      </c>
      <c r="AL3" s="5">
        <v>4.9818910253983182</v>
      </c>
      <c r="AM3" s="6">
        <v>37944551</v>
      </c>
      <c r="AN3" s="3">
        <v>1963</v>
      </c>
      <c r="AO3" s="5">
        <v>5.1733383272870981</v>
      </c>
      <c r="AP3" s="6">
        <v>38253768</v>
      </c>
      <c r="AQ3" s="3">
        <v>1843</v>
      </c>
      <c r="AR3" s="5">
        <v>4.8178260504952091</v>
      </c>
      <c r="AS3" s="6">
        <v>38586706</v>
      </c>
      <c r="AT3" s="4">
        <v>1813</v>
      </c>
      <c r="AU3" s="5">
        <v>4.6985093778152507</v>
      </c>
      <c r="AV3" s="6">
        <v>38904296</v>
      </c>
      <c r="AW3" s="4">
        <v>1987</v>
      </c>
      <c r="AX3" s="5">
        <v>5.1074051050814546</v>
      </c>
      <c r="AY3" s="6">
        <v>39149186</v>
      </c>
      <c r="AZ3" s="4">
        <v>2074</v>
      </c>
      <c r="BA3" s="5">
        <v>5.2976835840213887</v>
      </c>
      <c r="BB3" s="6">
        <v>39337785</v>
      </c>
      <c r="BC3" s="4">
        <v>2022</v>
      </c>
      <c r="BD3" s="5">
        <v>5.140096220465896</v>
      </c>
      <c r="BE3" s="6">
        <v>39437463</v>
      </c>
      <c r="BF3" s="3">
        <v>1890</v>
      </c>
      <c r="BG3" s="5">
        <v>4.7923975231368203</v>
      </c>
      <c r="BH3" s="6">
        <v>39437610</v>
      </c>
      <c r="BI3" s="3">
        <v>1794</v>
      </c>
      <c r="BJ3" s="5">
        <v>4.5489572010068562</v>
      </c>
      <c r="BK3" s="6">
        <v>39370000</v>
      </c>
      <c r="BL3" s="3">
        <v>2324</v>
      </c>
      <c r="BM3" s="5">
        <f t="shared" ref="BM3:BM26" si="0">(BL3/BK3)*100000</f>
        <v>5.9029718059436114</v>
      </c>
      <c r="BR3" s="4"/>
      <c r="BT3" s="5"/>
      <c r="BU3" s="4"/>
      <c r="BW3" s="5"/>
      <c r="BX3" s="4"/>
      <c r="BZ3" s="5"/>
      <c r="CA3" s="4"/>
      <c r="CC3" s="5"/>
      <c r="CD3" s="4"/>
      <c r="CF3" s="5"/>
      <c r="CG3" s="4"/>
      <c r="CI3" s="5"/>
      <c r="CJ3" s="4"/>
      <c r="CL3" s="5"/>
      <c r="CM3" s="4"/>
      <c r="CO3" s="5"/>
      <c r="CP3" s="4"/>
      <c r="CR3" s="5"/>
      <c r="CS3" s="4"/>
      <c r="CU3" s="5"/>
      <c r="CV3" s="6"/>
      <c r="CX3" s="5"/>
      <c r="CY3" s="6"/>
      <c r="DA3" s="5"/>
      <c r="DB3" s="6"/>
      <c r="DD3" s="5"/>
      <c r="DE3" s="6"/>
      <c r="DG3" s="5"/>
      <c r="DH3" s="6"/>
      <c r="DJ3" s="5"/>
      <c r="DK3" s="6"/>
      <c r="DM3" s="5"/>
      <c r="DN3" s="6"/>
      <c r="DP3" s="5"/>
      <c r="DQ3" s="6"/>
      <c r="DR3" s="3">
        <v>78</v>
      </c>
      <c r="DS3" s="5">
        <v>10.52655728943849</v>
      </c>
      <c r="DT3" s="6">
        <v>736624</v>
      </c>
      <c r="DU3" s="3">
        <v>56</v>
      </c>
      <c r="DV3" s="5">
        <v>7.6022502660787596</v>
      </c>
      <c r="DW3" s="6">
        <v>733603</v>
      </c>
      <c r="DX3" s="3">
        <v>78</v>
      </c>
      <c r="DY3" s="5">
        <v>10.63245379312789</v>
      </c>
      <c r="DZ3" s="6">
        <v>731545</v>
      </c>
      <c r="EA3" s="3">
        <v>48</v>
      </c>
      <c r="EB3" s="5">
        <v>6.5614555495560767</v>
      </c>
    </row>
    <row r="4" spans="1:132" x14ac:dyDescent="0.3">
      <c r="A4" s="3" t="s">
        <v>69</v>
      </c>
      <c r="B4" s="3" t="s">
        <v>67</v>
      </c>
      <c r="C4" s="4">
        <v>4326921</v>
      </c>
      <c r="D4" s="3">
        <v>149</v>
      </c>
      <c r="E4" s="5">
        <v>3.4435572084630155</v>
      </c>
      <c r="F4" s="4">
        <v>4425687</v>
      </c>
      <c r="G4" s="3">
        <v>166</v>
      </c>
      <c r="H4" s="5">
        <v>3.7508300971126065</v>
      </c>
      <c r="I4" s="4">
        <v>4490406</v>
      </c>
      <c r="J4" s="3">
        <v>184</v>
      </c>
      <c r="K4" s="5">
        <v>4.0976250254431337</v>
      </c>
      <c r="L4" s="4">
        <v>4528732</v>
      </c>
      <c r="M4" s="3">
        <v>190</v>
      </c>
      <c r="N4" s="5">
        <v>4.1954348369477374</v>
      </c>
      <c r="O4" s="4">
        <v>4575013</v>
      </c>
      <c r="P4" s="3">
        <v>217</v>
      </c>
      <c r="Q4" s="5">
        <v>4.7431559210870002</v>
      </c>
      <c r="R4" s="4">
        <v>4631888</v>
      </c>
      <c r="S4" s="3">
        <v>178</v>
      </c>
      <c r="T4" s="5">
        <v>3.8429253902512324</v>
      </c>
      <c r="U4" s="4">
        <v>4720423</v>
      </c>
      <c r="V4" s="3">
        <v>177</v>
      </c>
      <c r="W4" s="5">
        <v>3.7496639602001767</v>
      </c>
      <c r="X4" s="4">
        <v>4803868</v>
      </c>
      <c r="Y4" s="3">
        <v>167</v>
      </c>
      <c r="Z4" s="5">
        <v>3.4763652956326023</v>
      </c>
      <c r="AA4" s="4">
        <v>4889730</v>
      </c>
      <c r="AB4" s="3">
        <v>190</v>
      </c>
      <c r="AC4" s="5">
        <v>3.8856951201804599</v>
      </c>
      <c r="AD4" s="4">
        <v>4972195</v>
      </c>
      <c r="AE4" s="3">
        <v>190</v>
      </c>
      <c r="AF4" s="5">
        <v>3.8212499710892271</v>
      </c>
      <c r="AG4" s="6">
        <v>5047539</v>
      </c>
      <c r="AH4" s="3">
        <v>168</v>
      </c>
      <c r="AI4" s="5">
        <v>3.3283546694735793</v>
      </c>
      <c r="AJ4" s="6">
        <v>5121900</v>
      </c>
      <c r="AK4" s="3">
        <v>189</v>
      </c>
      <c r="AL4" s="5">
        <v>3.6900369003690039</v>
      </c>
      <c r="AM4" s="6">
        <v>5193660</v>
      </c>
      <c r="AN4" s="3">
        <v>204</v>
      </c>
      <c r="AO4" s="5">
        <v>3.9278658980372221</v>
      </c>
      <c r="AP4" s="6">
        <v>5270774</v>
      </c>
      <c r="AQ4" s="3">
        <v>183</v>
      </c>
      <c r="AR4" s="5">
        <v>3.4719758426371534</v>
      </c>
      <c r="AS4" s="6">
        <v>5352637</v>
      </c>
      <c r="AT4" s="3">
        <v>177</v>
      </c>
      <c r="AU4" s="5">
        <v>3.3067813117160756</v>
      </c>
      <c r="AV4" s="6">
        <v>5454328</v>
      </c>
      <c r="AW4" s="3">
        <v>206</v>
      </c>
      <c r="AX4" s="5">
        <v>3.7768172357804666</v>
      </c>
      <c r="AY4" s="6">
        <v>5543844</v>
      </c>
      <c r="AZ4" s="3">
        <v>235</v>
      </c>
      <c r="BA4" s="5">
        <v>4.2389360162371084</v>
      </c>
      <c r="BB4" s="6">
        <v>5617421</v>
      </c>
      <c r="BC4" s="3">
        <v>261</v>
      </c>
      <c r="BD4" s="5">
        <v>4.6462602678346521</v>
      </c>
      <c r="BE4" s="6">
        <v>5697155</v>
      </c>
      <c r="BF4" s="3">
        <v>263</v>
      </c>
      <c r="BG4" s="5">
        <v>4.6163392079028913</v>
      </c>
      <c r="BH4" s="6">
        <v>5758486</v>
      </c>
      <c r="BI4" s="3">
        <v>250</v>
      </c>
      <c r="BJ4" s="5">
        <v>4.3414189076781637</v>
      </c>
      <c r="BK4" s="6">
        <v>5842076</v>
      </c>
      <c r="BL4" s="3">
        <v>332</v>
      </c>
      <c r="BM4" s="5">
        <f t="shared" si="0"/>
        <v>5.6829113486370257</v>
      </c>
      <c r="BR4" s="4"/>
      <c r="BT4" s="5"/>
      <c r="BU4" s="4"/>
      <c r="BW4" s="5"/>
      <c r="BX4" s="4"/>
      <c r="BZ4" s="5"/>
      <c r="CA4" s="4"/>
      <c r="CC4" s="5"/>
      <c r="CD4" s="4"/>
      <c r="CF4" s="5"/>
      <c r="CG4" s="4"/>
      <c r="CI4" s="5"/>
      <c r="CJ4" s="4"/>
      <c r="CL4" s="5"/>
      <c r="CM4" s="4"/>
      <c r="CO4" s="5"/>
      <c r="CP4" s="4"/>
      <c r="CR4" s="5"/>
      <c r="CS4" s="4"/>
      <c r="CU4" s="5"/>
      <c r="CV4" s="6"/>
      <c r="CX4" s="5"/>
      <c r="CY4" s="6"/>
      <c r="DA4" s="5"/>
      <c r="DB4" s="6"/>
      <c r="DD4" s="5"/>
      <c r="DE4" s="6"/>
      <c r="DG4" s="5"/>
      <c r="DH4" s="6"/>
      <c r="DJ4" s="5"/>
      <c r="DK4" s="6"/>
      <c r="DM4" s="5"/>
      <c r="DN4" s="6"/>
      <c r="DP4" s="5"/>
      <c r="DQ4" s="6"/>
      <c r="DR4" s="3">
        <v>278</v>
      </c>
      <c r="DS4" s="5">
        <v>9.2547742817146634</v>
      </c>
      <c r="DT4" s="6">
        <v>3012161</v>
      </c>
      <c r="DU4" s="3">
        <v>264</v>
      </c>
      <c r="DV4" s="5">
        <v>8.7644717530039067</v>
      </c>
      <c r="DW4" s="6">
        <v>3020985</v>
      </c>
      <c r="DX4" s="3">
        <v>270</v>
      </c>
      <c r="DY4" s="5">
        <v>8.9374823112329267</v>
      </c>
      <c r="DZ4" s="6">
        <v>3011524</v>
      </c>
      <c r="EA4" s="3">
        <v>310</v>
      </c>
      <c r="EB4" s="5">
        <v>10.293791449113472</v>
      </c>
    </row>
    <row r="5" spans="1:132" x14ac:dyDescent="0.3">
      <c r="A5" s="3" t="s">
        <v>70</v>
      </c>
      <c r="B5" s="3" t="s">
        <v>67</v>
      </c>
      <c r="C5" s="4">
        <v>3411777</v>
      </c>
      <c r="D5" s="3">
        <v>94</v>
      </c>
      <c r="E5" s="5">
        <v>2.7551624857075949</v>
      </c>
      <c r="F5" s="4">
        <v>3432835</v>
      </c>
      <c r="G5" s="3">
        <v>107</v>
      </c>
      <c r="H5" s="5">
        <v>3.1169572670984769</v>
      </c>
      <c r="I5" s="4">
        <v>3458749</v>
      </c>
      <c r="J5" s="3">
        <v>98</v>
      </c>
      <c r="K5" s="5">
        <v>2.8333943862361797</v>
      </c>
      <c r="L5" s="4">
        <v>3484336</v>
      </c>
      <c r="M5" s="3">
        <v>103</v>
      </c>
      <c r="N5" s="5">
        <v>2.9560868986228654</v>
      </c>
      <c r="O5" s="4">
        <v>3496094</v>
      </c>
      <c r="P5" s="3">
        <v>108</v>
      </c>
      <c r="Q5" s="5">
        <v>3.0891617902722293</v>
      </c>
      <c r="R5" s="4">
        <v>3506956</v>
      </c>
      <c r="S5" s="3">
        <v>105</v>
      </c>
      <c r="T5" s="5">
        <v>2.9940495403991378</v>
      </c>
      <c r="U5" s="4">
        <v>3517460</v>
      </c>
      <c r="V5" s="3">
        <v>132</v>
      </c>
      <c r="W5" s="5">
        <v>3.7527079199194873</v>
      </c>
      <c r="X5" s="4">
        <v>3527270</v>
      </c>
      <c r="Y5" s="3">
        <v>105</v>
      </c>
      <c r="Z5" s="5">
        <v>2.9768064253657931</v>
      </c>
      <c r="AA5" s="4">
        <v>3545579</v>
      </c>
      <c r="AB5" s="3">
        <v>127</v>
      </c>
      <c r="AC5" s="5">
        <v>3.5819255472801479</v>
      </c>
      <c r="AD5" s="4">
        <v>3561807</v>
      </c>
      <c r="AE5" s="3">
        <v>111</v>
      </c>
      <c r="AF5" s="5">
        <v>3.1163956946572342</v>
      </c>
      <c r="AG5" s="6">
        <v>3579173</v>
      </c>
      <c r="AH5" s="3">
        <v>141</v>
      </c>
      <c r="AI5" s="5">
        <v>3.9394575227294126</v>
      </c>
      <c r="AJ5" s="6">
        <v>3588632</v>
      </c>
      <c r="AK5" s="3">
        <v>134</v>
      </c>
      <c r="AL5" s="5">
        <v>3.7340134067800763</v>
      </c>
      <c r="AM5" s="6">
        <v>3595211</v>
      </c>
      <c r="AN5" s="3">
        <v>150</v>
      </c>
      <c r="AO5" s="5">
        <v>4.1722168740582957</v>
      </c>
      <c r="AP5" s="6">
        <v>3595792</v>
      </c>
      <c r="AQ5" s="3">
        <v>99</v>
      </c>
      <c r="AR5" s="5">
        <v>2.7532182061698784</v>
      </c>
      <c r="AS5" s="6">
        <v>3595697</v>
      </c>
      <c r="AT5" s="3">
        <v>100</v>
      </c>
      <c r="AU5" s="5">
        <v>2.7811019671568546</v>
      </c>
      <c r="AV5" s="6">
        <v>3588561</v>
      </c>
      <c r="AW5" s="3">
        <v>124</v>
      </c>
      <c r="AX5" s="5">
        <v>3.4554240543772279</v>
      </c>
      <c r="AY5" s="6">
        <v>3579830</v>
      </c>
      <c r="AZ5" s="3">
        <v>88</v>
      </c>
      <c r="BA5" s="5">
        <v>2.4582172896478323</v>
      </c>
      <c r="BB5" s="6">
        <v>3575324</v>
      </c>
      <c r="BC5" s="3">
        <v>109</v>
      </c>
      <c r="BD5" s="5">
        <v>3.0486747494772501</v>
      </c>
      <c r="BE5" s="6">
        <v>3574561</v>
      </c>
      <c r="BF5" s="3">
        <v>92</v>
      </c>
      <c r="BG5" s="5">
        <v>2.5737426218212529</v>
      </c>
      <c r="BH5" s="6">
        <v>3566022</v>
      </c>
      <c r="BI5" s="3">
        <v>106</v>
      </c>
      <c r="BJ5" s="5">
        <v>2.9724998892323153</v>
      </c>
      <c r="BK5" s="6">
        <v>3565000</v>
      </c>
      <c r="BL5" s="3">
        <v>151</v>
      </c>
      <c r="BM5" s="5">
        <f t="shared" si="0"/>
        <v>4.2356241234221592</v>
      </c>
      <c r="BR5" s="4"/>
      <c r="BT5" s="5"/>
      <c r="BU5" s="4"/>
      <c r="BW5" s="5"/>
      <c r="BX5" s="4"/>
      <c r="BZ5" s="5"/>
      <c r="CA5" s="4"/>
      <c r="CC5" s="5"/>
      <c r="CD5" s="4"/>
      <c r="CF5" s="5"/>
      <c r="CG5" s="4"/>
      <c r="CI5" s="5"/>
      <c r="CJ5" s="4"/>
      <c r="CL5" s="5"/>
      <c r="CM5" s="4"/>
      <c r="CO5" s="5"/>
      <c r="CP5" s="4"/>
      <c r="CR5" s="5"/>
      <c r="CS5" s="4"/>
      <c r="CU5" s="5"/>
      <c r="CV5" s="6"/>
      <c r="CX5" s="5"/>
      <c r="CY5" s="6"/>
      <c r="DA5" s="5"/>
      <c r="DB5" s="6"/>
      <c r="DD5" s="5"/>
      <c r="DE5" s="6"/>
      <c r="DG5" s="5"/>
      <c r="DH5" s="6"/>
      <c r="DI5" s="4"/>
      <c r="DJ5" s="5"/>
      <c r="DK5" s="6"/>
      <c r="DL5" s="4"/>
      <c r="DM5" s="5"/>
      <c r="DN5" s="6"/>
      <c r="DO5" s="4"/>
      <c r="DP5" s="5"/>
      <c r="DQ5" s="6"/>
      <c r="DR5" s="4">
        <v>1269</v>
      </c>
      <c r="DS5" s="5">
        <v>6.0494571005538473</v>
      </c>
      <c r="DT5" s="6">
        <v>21254926</v>
      </c>
      <c r="DU5" s="3">
        <v>1315</v>
      </c>
      <c r="DV5" s="5">
        <v>6.1868011208319427</v>
      </c>
      <c r="DW5" s="6">
        <v>21492056</v>
      </c>
      <c r="DX5" s="3">
        <v>1334</v>
      </c>
      <c r="DY5" s="5">
        <v>6.2069445566305985</v>
      </c>
      <c r="DZ5" s="6">
        <v>21538187</v>
      </c>
      <c r="EA5" s="3">
        <v>1285</v>
      </c>
      <c r="EB5" s="5">
        <v>5.9661474756440738</v>
      </c>
    </row>
    <row r="6" spans="1:132" x14ac:dyDescent="0.3">
      <c r="A6" s="3" t="s">
        <v>71</v>
      </c>
      <c r="B6" s="3" t="s">
        <v>67</v>
      </c>
      <c r="C6" s="4">
        <v>786373</v>
      </c>
      <c r="D6" s="3">
        <v>23</v>
      </c>
      <c r="E6" s="5">
        <v>2.9248206639851571</v>
      </c>
      <c r="F6" s="4">
        <v>795699</v>
      </c>
      <c r="G6" s="3">
        <v>31</v>
      </c>
      <c r="H6" s="5">
        <v>3.8959455774105534</v>
      </c>
      <c r="I6" s="4">
        <v>806169</v>
      </c>
      <c r="J6" s="3">
        <v>38</v>
      </c>
      <c r="K6" s="5">
        <v>4.7136518521550697</v>
      </c>
      <c r="L6" s="4">
        <v>818003</v>
      </c>
      <c r="M6" s="3">
        <v>25</v>
      </c>
      <c r="N6" s="5">
        <v>3.056223510182726</v>
      </c>
      <c r="O6" s="4">
        <v>830803</v>
      </c>
      <c r="P6" s="3">
        <v>35</v>
      </c>
      <c r="Q6" s="5">
        <v>4.21279172078098</v>
      </c>
      <c r="R6" s="4">
        <v>845150</v>
      </c>
      <c r="S6" s="3">
        <v>55</v>
      </c>
      <c r="T6" s="5">
        <v>6.5077205229840853</v>
      </c>
      <c r="U6" s="4">
        <v>859268</v>
      </c>
      <c r="V6" s="3">
        <v>49</v>
      </c>
      <c r="W6" s="5">
        <v>5.7025281984200502</v>
      </c>
      <c r="X6" s="4">
        <v>871749</v>
      </c>
      <c r="Y6" s="3">
        <v>48</v>
      </c>
      <c r="Z6" s="5">
        <v>5.5061720747600509</v>
      </c>
      <c r="AA6" s="4">
        <v>883874</v>
      </c>
      <c r="AB6" s="3">
        <v>65</v>
      </c>
      <c r="AC6" s="5">
        <v>7.3539893695255216</v>
      </c>
      <c r="AD6" s="4">
        <v>891730</v>
      </c>
      <c r="AE6" s="3">
        <v>45</v>
      </c>
      <c r="AF6" s="5">
        <v>5.0463705381673831</v>
      </c>
      <c r="AG6" s="6">
        <v>899647</v>
      </c>
      <c r="AH6" s="3">
        <v>61</v>
      </c>
      <c r="AI6" s="5">
        <v>6.780437215930248</v>
      </c>
      <c r="AJ6" s="6">
        <v>907590</v>
      </c>
      <c r="AK6" s="3">
        <v>49</v>
      </c>
      <c r="AL6" s="5">
        <v>5.3989136063641077</v>
      </c>
      <c r="AM6" s="6">
        <v>915518</v>
      </c>
      <c r="AN6" s="3">
        <v>62</v>
      </c>
      <c r="AO6" s="5">
        <v>6.7721224487120946</v>
      </c>
      <c r="AP6" s="6">
        <v>924062</v>
      </c>
      <c r="AQ6" s="3">
        <v>52</v>
      </c>
      <c r="AR6" s="5">
        <v>5.6273280364304563</v>
      </c>
      <c r="AS6" s="6">
        <v>933131</v>
      </c>
      <c r="AT6" s="3">
        <v>57</v>
      </c>
      <c r="AU6" s="5">
        <v>6.1084670855431877</v>
      </c>
      <c r="AV6" s="6">
        <v>942065</v>
      </c>
      <c r="AW6" s="3">
        <v>65</v>
      </c>
      <c r="AX6" s="5">
        <v>6.8997362177769048</v>
      </c>
      <c r="AY6" s="6">
        <v>949989</v>
      </c>
      <c r="AZ6" s="3">
        <v>63</v>
      </c>
      <c r="BA6" s="5">
        <v>6.631655734961142</v>
      </c>
      <c r="BB6" s="6">
        <v>957942</v>
      </c>
      <c r="BC6" s="3">
        <v>63</v>
      </c>
      <c r="BD6" s="5">
        <v>6.5765985832127623</v>
      </c>
      <c r="BE6" s="6">
        <v>966985</v>
      </c>
      <c r="BF6" s="3">
        <v>57</v>
      </c>
      <c r="BG6" s="5">
        <v>5.8946105678991918</v>
      </c>
      <c r="BH6" s="6">
        <v>976668</v>
      </c>
      <c r="BI6" s="3">
        <v>53</v>
      </c>
      <c r="BJ6" s="5">
        <v>5.4266137520631368</v>
      </c>
      <c r="BK6" s="6">
        <v>973764</v>
      </c>
      <c r="BL6" s="3">
        <v>85</v>
      </c>
      <c r="BM6" s="5">
        <f t="shared" si="0"/>
        <v>8.7290144223857116</v>
      </c>
      <c r="BR6" s="4"/>
      <c r="BT6" s="5"/>
      <c r="BU6" s="4"/>
      <c r="BW6" s="5"/>
      <c r="BX6" s="4"/>
      <c r="BZ6" s="5"/>
      <c r="CA6" s="4"/>
      <c r="CC6" s="5"/>
      <c r="CD6" s="4"/>
      <c r="CF6" s="5"/>
      <c r="CG6" s="4"/>
      <c r="CI6" s="5"/>
      <c r="CJ6" s="4"/>
      <c r="CL6" s="5"/>
      <c r="CM6" s="4"/>
      <c r="CO6" s="5"/>
      <c r="CP6" s="4"/>
      <c r="CR6" s="5"/>
      <c r="CS6" s="4"/>
      <c r="CU6" s="5"/>
      <c r="CV6" s="6"/>
      <c r="CX6" s="5"/>
      <c r="CY6" s="6"/>
      <c r="DA6" s="5"/>
      <c r="DB6" s="6"/>
      <c r="DD6" s="5"/>
      <c r="DE6" s="6"/>
      <c r="DG6" s="5"/>
      <c r="DH6" s="6"/>
      <c r="DJ6" s="5"/>
      <c r="DK6" s="6"/>
      <c r="DM6" s="5"/>
      <c r="DN6" s="6"/>
      <c r="DP6" s="5"/>
      <c r="DQ6" s="6"/>
      <c r="DR6" s="3">
        <v>50</v>
      </c>
      <c r="DS6" s="5">
        <v>2.9074077842936017</v>
      </c>
      <c r="DT6" s="6">
        <v>1752074</v>
      </c>
      <c r="DU6" s="3">
        <v>41</v>
      </c>
      <c r="DV6" s="5">
        <v>2.3400838092454999</v>
      </c>
      <c r="DW6" s="6">
        <v>1789060</v>
      </c>
      <c r="DX6" s="3">
        <v>27</v>
      </c>
      <c r="DY6" s="5">
        <v>1.5091724145640728</v>
      </c>
      <c r="DZ6" s="6">
        <v>1839106</v>
      </c>
      <c r="EA6" s="3">
        <v>39</v>
      </c>
      <c r="EB6" s="5">
        <v>2.1205955502292961</v>
      </c>
    </row>
    <row r="7" spans="1:132" x14ac:dyDescent="0.3">
      <c r="A7" s="3" t="s">
        <v>72</v>
      </c>
      <c r="B7" s="3" t="s">
        <v>67</v>
      </c>
      <c r="C7" s="4">
        <v>8227303</v>
      </c>
      <c r="D7" s="3">
        <v>653</v>
      </c>
      <c r="E7" s="5">
        <v>7.9369873699801747</v>
      </c>
      <c r="F7" s="4">
        <v>8377038</v>
      </c>
      <c r="G7" s="3">
        <v>665</v>
      </c>
      <c r="H7" s="5">
        <v>7.9383667592292166</v>
      </c>
      <c r="I7" s="4">
        <v>8508256</v>
      </c>
      <c r="J7" s="3">
        <v>656</v>
      </c>
      <c r="K7" s="5">
        <v>7.7101582274910392</v>
      </c>
      <c r="L7" s="4">
        <v>8622793</v>
      </c>
      <c r="M7" s="3">
        <v>706</v>
      </c>
      <c r="N7" s="5">
        <v>8.1876023232843469</v>
      </c>
      <c r="O7" s="4">
        <v>8769252</v>
      </c>
      <c r="P7" s="3">
        <v>647</v>
      </c>
      <c r="Q7" s="5">
        <v>7.3780523127856288</v>
      </c>
      <c r="R7" s="4">
        <v>8925922</v>
      </c>
      <c r="S7" s="3">
        <v>638</v>
      </c>
      <c r="T7" s="5">
        <v>7.1477209861345417</v>
      </c>
      <c r="U7" s="4">
        <v>9155813</v>
      </c>
      <c r="V7" s="3">
        <v>677</v>
      </c>
      <c r="W7" s="5">
        <v>7.3942095584521006</v>
      </c>
      <c r="X7" s="4">
        <v>9349988</v>
      </c>
      <c r="Y7" s="3">
        <v>766</v>
      </c>
      <c r="Z7" s="5">
        <v>8.1925238834531129</v>
      </c>
      <c r="AA7" s="4">
        <v>9504843</v>
      </c>
      <c r="AB7" s="3">
        <v>708</v>
      </c>
      <c r="AC7" s="5">
        <v>7.4488342416597515</v>
      </c>
      <c r="AD7" s="4">
        <v>9620846</v>
      </c>
      <c r="AE7" s="3">
        <v>629</v>
      </c>
      <c r="AF7" s="5">
        <v>6.5378865850258903</v>
      </c>
      <c r="AG7" s="6">
        <v>9712209</v>
      </c>
      <c r="AH7" s="3">
        <v>633</v>
      </c>
      <c r="AI7" s="5">
        <v>6.5175697928246814</v>
      </c>
      <c r="AJ7" s="6">
        <v>9803630</v>
      </c>
      <c r="AK7" s="3">
        <v>613</v>
      </c>
      <c r="AL7" s="5">
        <v>6.2527859578543863</v>
      </c>
      <c r="AM7" s="6">
        <v>9903580</v>
      </c>
      <c r="AN7" s="3">
        <v>654</v>
      </c>
      <c r="AO7" s="5">
        <v>6.6036726113183306</v>
      </c>
      <c r="AP7" s="6">
        <v>9975592</v>
      </c>
      <c r="AQ7" s="3">
        <v>628</v>
      </c>
      <c r="AR7" s="5">
        <v>6.2953657286705385</v>
      </c>
      <c r="AS7" s="6">
        <v>10071204</v>
      </c>
      <c r="AT7" s="3">
        <v>658</v>
      </c>
      <c r="AU7" s="5">
        <v>6.5334790160143719</v>
      </c>
      <c r="AV7" s="6">
        <v>10183353</v>
      </c>
      <c r="AW7" s="3">
        <v>738</v>
      </c>
      <c r="AX7" s="5">
        <v>7.247121846802326</v>
      </c>
      <c r="AY7" s="6">
        <v>10308442</v>
      </c>
      <c r="AZ7" s="3">
        <v>806</v>
      </c>
      <c r="BA7" s="5">
        <v>7.8188343107522948</v>
      </c>
      <c r="BB7" s="6">
        <v>10417031</v>
      </c>
      <c r="BC7" s="3">
        <v>810</v>
      </c>
      <c r="BD7" s="5">
        <v>7.7757280361362078</v>
      </c>
      <c r="BE7" s="6">
        <v>10519389</v>
      </c>
      <c r="BF7" s="3">
        <v>794</v>
      </c>
      <c r="BG7" s="5">
        <v>7.5479669018799482</v>
      </c>
      <c r="BH7" s="6">
        <v>10628020</v>
      </c>
      <c r="BI7" s="3">
        <v>849</v>
      </c>
      <c r="BJ7" s="5">
        <v>7.9883176734706938</v>
      </c>
      <c r="BK7" s="6">
        <v>10620000</v>
      </c>
      <c r="BL7" s="3">
        <v>1086</v>
      </c>
      <c r="BM7" s="5">
        <f t="shared" si="0"/>
        <v>10.225988700564971</v>
      </c>
      <c r="BR7" s="4"/>
      <c r="BT7" s="5"/>
      <c r="BU7" s="4"/>
      <c r="BW7" s="5"/>
      <c r="BX7" s="4"/>
      <c r="BZ7" s="5"/>
      <c r="CA7" s="4"/>
      <c r="CC7" s="5"/>
      <c r="CD7" s="4"/>
      <c r="CF7" s="5"/>
      <c r="CG7" s="4"/>
      <c r="CI7" s="5"/>
      <c r="CJ7" s="4"/>
      <c r="CL7" s="5"/>
      <c r="CM7" s="4"/>
      <c r="CO7" s="5"/>
      <c r="CP7" s="4"/>
      <c r="CR7" s="5"/>
      <c r="CS7" s="4"/>
      <c r="CU7" s="5"/>
      <c r="CV7" s="6"/>
      <c r="CX7" s="5"/>
      <c r="CY7" s="6"/>
      <c r="DA7" s="5"/>
      <c r="DB7" s="6"/>
      <c r="DD7" s="5"/>
      <c r="DE7" s="6"/>
      <c r="DG7" s="5"/>
      <c r="DH7" s="6"/>
      <c r="DJ7" s="5"/>
      <c r="DK7" s="6"/>
      <c r="DM7" s="5"/>
      <c r="DN7" s="6"/>
      <c r="DP7" s="5"/>
      <c r="DQ7" s="6"/>
      <c r="DR7" s="3">
        <v>456</v>
      </c>
      <c r="DS7" s="5">
        <v>6.8447214888830317</v>
      </c>
      <c r="DT7" s="6">
        <v>6698481</v>
      </c>
      <c r="DU7" s="3">
        <v>473</v>
      </c>
      <c r="DV7" s="5">
        <v>7.0613024057245219</v>
      </c>
      <c r="DW7" s="6">
        <v>6731010</v>
      </c>
      <c r="DX7" s="3">
        <v>466</v>
      </c>
      <c r="DY7" s="5">
        <v>6.9231809193568274</v>
      </c>
      <c r="DZ7" s="6">
        <v>6732000</v>
      </c>
      <c r="EA7" s="3">
        <v>505</v>
      </c>
      <c r="EB7" s="5">
        <v>7.5014854426619131</v>
      </c>
    </row>
    <row r="8" spans="1:132" x14ac:dyDescent="0.3">
      <c r="A8" s="3" t="s">
        <v>73</v>
      </c>
      <c r="B8" s="3" t="s">
        <v>67</v>
      </c>
      <c r="C8" s="4">
        <v>1213519</v>
      </c>
      <c r="D8" s="3">
        <v>35</v>
      </c>
      <c r="E8" s="5">
        <v>2.8841740425984264</v>
      </c>
      <c r="F8" s="4">
        <v>1225948</v>
      </c>
      <c r="G8" s="3">
        <v>32</v>
      </c>
      <c r="H8" s="5">
        <v>2.6102249035032479</v>
      </c>
      <c r="I8" s="4">
        <v>1239613</v>
      </c>
      <c r="J8" s="3">
        <v>38</v>
      </c>
      <c r="K8" s="5">
        <v>3.0654728532211264</v>
      </c>
      <c r="L8" s="4">
        <v>1251154</v>
      </c>
      <c r="M8" s="3">
        <v>20</v>
      </c>
      <c r="N8" s="5">
        <v>1.5985242424193984</v>
      </c>
      <c r="O8" s="4">
        <v>1273569</v>
      </c>
      <c r="P8" s="3">
        <v>31</v>
      </c>
      <c r="Q8" s="5">
        <v>2.4341044733343855</v>
      </c>
      <c r="R8" s="4">
        <v>1292729</v>
      </c>
      <c r="S8" s="3">
        <v>25</v>
      </c>
      <c r="T8" s="5">
        <v>1.9338933372733189</v>
      </c>
      <c r="U8" s="4">
        <v>1309731</v>
      </c>
      <c r="V8" s="3">
        <v>28</v>
      </c>
      <c r="W8" s="5">
        <v>2.1378435724587721</v>
      </c>
      <c r="X8" s="4">
        <v>1315675</v>
      </c>
      <c r="Y8" s="3">
        <v>23</v>
      </c>
      <c r="Z8" s="5">
        <v>1.7481520892317632</v>
      </c>
      <c r="AA8" s="4">
        <v>1332213</v>
      </c>
      <c r="AB8" s="3">
        <v>27</v>
      </c>
      <c r="AC8" s="5">
        <v>2.0267029371429346</v>
      </c>
      <c r="AD8" s="4">
        <v>1346717</v>
      </c>
      <c r="AE8" s="3">
        <v>23</v>
      </c>
      <c r="AF8" s="5">
        <v>1.7078569588116881</v>
      </c>
      <c r="AG8" s="6">
        <v>1364004</v>
      </c>
      <c r="AH8" s="3">
        <v>24</v>
      </c>
      <c r="AI8" s="5">
        <v>1.7595256318896426</v>
      </c>
      <c r="AJ8" s="6">
        <v>1379562</v>
      </c>
      <c r="AK8" s="3">
        <v>16</v>
      </c>
      <c r="AL8" s="5">
        <v>1.159788396607039</v>
      </c>
      <c r="AM8" s="6">
        <v>1395199</v>
      </c>
      <c r="AN8" s="3">
        <v>22</v>
      </c>
      <c r="AO8" s="5">
        <v>1.5768359925716691</v>
      </c>
      <c r="AP8" s="6">
        <v>1408822</v>
      </c>
      <c r="AQ8" s="3">
        <v>33</v>
      </c>
      <c r="AR8" s="5">
        <v>2.3423825011250536</v>
      </c>
      <c r="AS8" s="6">
        <v>1415335</v>
      </c>
      <c r="AT8" s="3">
        <v>30</v>
      </c>
      <c r="AU8" s="5">
        <v>2.1196395199723033</v>
      </c>
      <c r="AV8" s="6">
        <v>1422999</v>
      </c>
      <c r="AW8" s="3">
        <v>31</v>
      </c>
      <c r="AX8" s="5">
        <v>2.1784976658451622</v>
      </c>
      <c r="AY8" s="6">
        <v>1428885</v>
      </c>
      <c r="AZ8" s="3">
        <v>39</v>
      </c>
      <c r="BA8" s="5">
        <v>2.7294008965032175</v>
      </c>
      <c r="BB8" s="6">
        <v>1425763</v>
      </c>
      <c r="BC8" s="3">
        <v>35</v>
      </c>
      <c r="BD8" s="5">
        <v>2.4548259423200069</v>
      </c>
      <c r="BE8" s="6">
        <v>1423102</v>
      </c>
      <c r="BF8" s="3">
        <v>40</v>
      </c>
      <c r="BG8" s="5">
        <v>2.8107612806390545</v>
      </c>
      <c r="BH8" s="6">
        <v>1415615</v>
      </c>
      <c r="BI8" s="3">
        <v>35</v>
      </c>
      <c r="BJ8" s="5">
        <v>2.4724236462597529</v>
      </c>
      <c r="BK8" s="6">
        <v>1416000</v>
      </c>
      <c r="BL8" s="3">
        <v>45</v>
      </c>
      <c r="BM8" s="5">
        <f t="shared" si="0"/>
        <v>3.1779661016949152</v>
      </c>
      <c r="BR8" s="4"/>
      <c r="BT8" s="5"/>
      <c r="BU8" s="4"/>
      <c r="BW8" s="5"/>
      <c r="BX8" s="4"/>
      <c r="BZ8" s="5"/>
      <c r="CA8" s="4"/>
      <c r="CC8" s="5"/>
      <c r="CD8" s="4"/>
      <c r="CF8" s="5"/>
      <c r="CG8" s="4"/>
      <c r="CI8" s="5"/>
      <c r="CJ8" s="4"/>
      <c r="CL8" s="5"/>
      <c r="CM8" s="4"/>
      <c r="CO8" s="5"/>
      <c r="CP8" s="4"/>
      <c r="CR8" s="5"/>
      <c r="CS8" s="4"/>
      <c r="CU8" s="5"/>
      <c r="CV8" s="6"/>
      <c r="CX8" s="5"/>
      <c r="CY8" s="6"/>
      <c r="DA8" s="5"/>
      <c r="DB8" s="6"/>
      <c r="DD8" s="5"/>
      <c r="DE8" s="6"/>
      <c r="DG8" s="5"/>
      <c r="DH8" s="6"/>
      <c r="DJ8" s="5"/>
      <c r="DK8" s="6"/>
      <c r="DM8" s="5"/>
      <c r="DN8" s="6"/>
      <c r="DP8" s="5"/>
      <c r="DQ8" s="6"/>
      <c r="DR8" s="3">
        <v>104</v>
      </c>
      <c r="DS8" s="5">
        <v>3.3081679302383722</v>
      </c>
      <c r="DT8" s="6">
        <v>3149900</v>
      </c>
      <c r="DU8" s="3">
        <v>81</v>
      </c>
      <c r="DV8" s="5">
        <v>2.5715102066732278</v>
      </c>
      <c r="DW8" s="6">
        <v>3159596</v>
      </c>
      <c r="DX8" s="3">
        <v>80</v>
      </c>
      <c r="DY8" s="5">
        <v>2.5319692770847921</v>
      </c>
      <c r="DZ8" s="6">
        <v>3155000</v>
      </c>
      <c r="EA8" s="3">
        <v>110</v>
      </c>
      <c r="EB8" s="5">
        <v>3.4865293185419972</v>
      </c>
    </row>
    <row r="9" spans="1:132" x14ac:dyDescent="0.3">
      <c r="A9" s="3" t="s">
        <v>74</v>
      </c>
      <c r="B9" s="3" t="s">
        <v>67</v>
      </c>
      <c r="C9" s="4">
        <v>12434161</v>
      </c>
      <c r="D9" s="3">
        <v>984</v>
      </c>
      <c r="E9" s="5">
        <v>7.9136823143917798</v>
      </c>
      <c r="F9" s="4">
        <v>12488445</v>
      </c>
      <c r="G9" s="3">
        <v>1065</v>
      </c>
      <c r="H9" s="5">
        <v>8.5278831752071618</v>
      </c>
      <c r="I9" s="4">
        <v>12525556</v>
      </c>
      <c r="J9" s="3">
        <v>998</v>
      </c>
      <c r="K9" s="5">
        <v>7.9677101758995761</v>
      </c>
      <c r="L9" s="4">
        <v>12556006</v>
      </c>
      <c r="M9" s="3">
        <v>953</v>
      </c>
      <c r="N9" s="5">
        <v>7.5899931873240583</v>
      </c>
      <c r="O9" s="4">
        <v>12589773</v>
      </c>
      <c r="P9" s="3">
        <v>860</v>
      </c>
      <c r="Q9" s="5">
        <v>6.8309412727298575</v>
      </c>
      <c r="R9" s="4">
        <v>12609903</v>
      </c>
      <c r="S9" s="3">
        <v>853</v>
      </c>
      <c r="T9" s="5">
        <v>6.7645246755664967</v>
      </c>
      <c r="U9" s="4">
        <v>12643955</v>
      </c>
      <c r="V9" s="3">
        <v>859</v>
      </c>
      <c r="W9" s="5">
        <v>6.7937603384384078</v>
      </c>
      <c r="X9" s="4">
        <v>12695866</v>
      </c>
      <c r="Y9" s="3">
        <v>852</v>
      </c>
      <c r="Z9" s="5">
        <v>6.7108458769177304</v>
      </c>
      <c r="AA9" s="4">
        <v>12747038</v>
      </c>
      <c r="AB9" s="3">
        <v>862</v>
      </c>
      <c r="AC9" s="5">
        <v>6.7623553016787117</v>
      </c>
      <c r="AD9" s="4">
        <v>12796778</v>
      </c>
      <c r="AE9" s="3">
        <v>865</v>
      </c>
      <c r="AF9" s="5">
        <v>6.7595139964137845</v>
      </c>
      <c r="AG9" s="6">
        <v>12840545</v>
      </c>
      <c r="AH9" s="3">
        <v>773</v>
      </c>
      <c r="AI9" s="5">
        <v>6.0199936996443686</v>
      </c>
      <c r="AJ9" s="6">
        <v>12867783</v>
      </c>
      <c r="AK9" s="3">
        <v>802</v>
      </c>
      <c r="AL9" s="5">
        <v>6.2326198693279178</v>
      </c>
      <c r="AM9" s="6">
        <v>12883029</v>
      </c>
      <c r="AN9" s="3">
        <v>819</v>
      </c>
      <c r="AO9" s="5">
        <v>6.357200624169983</v>
      </c>
      <c r="AP9" s="6">
        <v>12895778</v>
      </c>
      <c r="AQ9" s="3">
        <v>783</v>
      </c>
      <c r="AR9" s="5">
        <v>6.0717546471411028</v>
      </c>
      <c r="AS9" s="6">
        <v>12885092</v>
      </c>
      <c r="AT9" s="3">
        <v>792</v>
      </c>
      <c r="AU9" s="5">
        <v>6.1466383010691734</v>
      </c>
      <c r="AV9" s="6">
        <v>12859585</v>
      </c>
      <c r="AW9" s="3">
        <v>863</v>
      </c>
      <c r="AX9" s="5">
        <v>6.7109475150247855</v>
      </c>
      <c r="AY9" s="6">
        <v>12821709</v>
      </c>
      <c r="AZ9" s="4">
        <v>1157</v>
      </c>
      <c r="BA9" s="5">
        <v>9.0237580653249889</v>
      </c>
      <c r="BB9" s="6">
        <v>12779893</v>
      </c>
      <c r="BC9" s="4">
        <v>1120</v>
      </c>
      <c r="BD9" s="5">
        <v>8.7637666449946021</v>
      </c>
      <c r="BE9" s="6">
        <v>12724685</v>
      </c>
      <c r="BF9" s="3">
        <v>994</v>
      </c>
      <c r="BG9" s="5">
        <v>7.8115882632851026</v>
      </c>
      <c r="BH9" s="6">
        <v>12667017</v>
      </c>
      <c r="BI9" s="3">
        <v>979</v>
      </c>
      <c r="BJ9" s="5">
        <v>7.7287336079204758</v>
      </c>
      <c r="BK9" s="6">
        <v>12670000</v>
      </c>
      <c r="BL9" s="3">
        <v>1349</v>
      </c>
      <c r="BM9" s="5">
        <f t="shared" si="0"/>
        <v>10.647198105761641</v>
      </c>
      <c r="BR9" s="4"/>
      <c r="BT9" s="5"/>
      <c r="BU9" s="4"/>
      <c r="BW9" s="5"/>
      <c r="BX9" s="4"/>
      <c r="BZ9" s="5"/>
      <c r="CA9" s="4"/>
      <c r="CC9" s="5"/>
      <c r="CD9" s="4"/>
      <c r="CF9" s="5"/>
      <c r="CG9" s="4"/>
      <c r="CI9" s="5"/>
      <c r="CJ9" s="4"/>
      <c r="CL9" s="5"/>
      <c r="CM9" s="4"/>
      <c r="CO9" s="5"/>
      <c r="CP9" s="4"/>
      <c r="CR9" s="5"/>
      <c r="CS9" s="4"/>
      <c r="CU9" s="5"/>
      <c r="CV9" s="6"/>
      <c r="CX9" s="5"/>
      <c r="CY9" s="6"/>
      <c r="DA9" s="5"/>
      <c r="DB9" s="6"/>
      <c r="DD9" s="5"/>
      <c r="DE9" s="6"/>
      <c r="DG9" s="5"/>
      <c r="DH9" s="6"/>
      <c r="DJ9" s="5"/>
      <c r="DK9" s="6"/>
      <c r="DM9" s="5"/>
      <c r="DN9" s="6"/>
      <c r="DP9" s="5"/>
      <c r="DQ9" s="6"/>
      <c r="DR9" s="3">
        <v>185</v>
      </c>
      <c r="DS9" s="5">
        <v>6.3554401880935467</v>
      </c>
      <c r="DT9" s="6">
        <v>2912748</v>
      </c>
      <c r="DU9" s="3">
        <v>160</v>
      </c>
      <c r="DV9" s="5">
        <v>5.4930944935847519</v>
      </c>
      <c r="DW9" s="6">
        <v>2912635</v>
      </c>
      <c r="DX9" s="3">
        <v>137</v>
      </c>
      <c r="DY9" s="5">
        <v>4.703644637930946</v>
      </c>
      <c r="DZ9" s="6">
        <v>2937880</v>
      </c>
      <c r="EA9" s="3">
        <v>193</v>
      </c>
      <c r="EB9" s="5">
        <v>6.5693629419853767</v>
      </c>
    </row>
    <row r="10" spans="1:132" x14ac:dyDescent="0.3">
      <c r="A10" s="3" t="s">
        <v>75</v>
      </c>
      <c r="B10" s="3" t="s">
        <v>67</v>
      </c>
      <c r="C10" s="4">
        <v>1277072</v>
      </c>
      <c r="D10" s="3">
        <v>18</v>
      </c>
      <c r="E10" s="5">
        <v>1.4094741721688362</v>
      </c>
      <c r="F10" s="4">
        <v>1285692</v>
      </c>
      <c r="G10" s="3">
        <v>18</v>
      </c>
      <c r="H10" s="5">
        <v>1.4000242670872962</v>
      </c>
      <c r="I10" s="4">
        <v>1295960</v>
      </c>
      <c r="J10" s="3">
        <v>11</v>
      </c>
      <c r="K10" s="5">
        <v>0.84879162937127683</v>
      </c>
      <c r="L10" s="4">
        <v>1306513</v>
      </c>
      <c r="M10" s="3">
        <v>16</v>
      </c>
      <c r="N10" s="5">
        <v>1.2246338153543057</v>
      </c>
      <c r="O10" s="4">
        <v>1313688</v>
      </c>
      <c r="P10" s="3">
        <v>21</v>
      </c>
      <c r="Q10" s="5">
        <v>1.5985530810968815</v>
      </c>
      <c r="R10" s="4">
        <v>1318787</v>
      </c>
      <c r="S10" s="3">
        <v>22</v>
      </c>
      <c r="T10" s="5">
        <v>1.6681996410337681</v>
      </c>
      <c r="U10" s="4">
        <v>1323619</v>
      </c>
      <c r="V10" s="3">
        <v>20</v>
      </c>
      <c r="W10" s="5">
        <v>1.5110088326021309</v>
      </c>
      <c r="X10" s="4">
        <v>1327040</v>
      </c>
      <c r="Y10" s="3">
        <v>26</v>
      </c>
      <c r="Z10" s="5">
        <v>1.9592476489028214</v>
      </c>
      <c r="AA10" s="4">
        <v>1330509</v>
      </c>
      <c r="AB10" s="3">
        <v>34</v>
      </c>
      <c r="AC10" s="5">
        <v>2.555413003594865</v>
      </c>
      <c r="AD10" s="4">
        <v>1329590</v>
      </c>
      <c r="AE10" s="3">
        <v>30</v>
      </c>
      <c r="AF10" s="5">
        <v>2.2563346595567055</v>
      </c>
      <c r="AG10" s="6">
        <v>1327651</v>
      </c>
      <c r="AH10" s="3">
        <v>26</v>
      </c>
      <c r="AI10" s="5">
        <v>1.9583459809844603</v>
      </c>
      <c r="AJ10" s="6">
        <v>1328473</v>
      </c>
      <c r="AK10" s="3">
        <v>29</v>
      </c>
      <c r="AL10" s="5">
        <v>2.182957425555506</v>
      </c>
      <c r="AM10" s="6">
        <v>1328094</v>
      </c>
      <c r="AN10" s="3">
        <v>29</v>
      </c>
      <c r="AO10" s="5">
        <v>2.1835803790996722</v>
      </c>
      <c r="AP10" s="6">
        <v>1328543</v>
      </c>
      <c r="AQ10" s="3">
        <v>30</v>
      </c>
      <c r="AR10" s="5">
        <v>2.2581128348875423</v>
      </c>
      <c r="AS10" s="6">
        <v>1331217</v>
      </c>
      <c r="AT10" s="3">
        <v>23</v>
      </c>
      <c r="AU10" s="5">
        <v>1.7277423590594172</v>
      </c>
      <c r="AV10" s="6">
        <v>1329098</v>
      </c>
      <c r="AW10" s="3">
        <v>22</v>
      </c>
      <c r="AX10" s="5">
        <v>1.6552579268044945</v>
      </c>
      <c r="AY10" s="6">
        <v>1332348</v>
      </c>
      <c r="AZ10" s="3">
        <v>19</v>
      </c>
      <c r="BA10" s="5">
        <v>1.4260538537979568</v>
      </c>
      <c r="BB10" s="6">
        <v>1335743</v>
      </c>
      <c r="BC10" s="3">
        <v>19</v>
      </c>
      <c r="BD10" s="5">
        <v>1.4224293146211511</v>
      </c>
      <c r="BE10" s="6">
        <v>1340123</v>
      </c>
      <c r="BF10" s="3">
        <v>19</v>
      </c>
      <c r="BG10" s="5">
        <v>1.417780308225439</v>
      </c>
      <c r="BH10" s="6">
        <v>1345770</v>
      </c>
      <c r="BI10" s="3">
        <v>23</v>
      </c>
      <c r="BJ10" s="5">
        <v>1.7090587544677025</v>
      </c>
      <c r="BK10" s="6">
        <v>1344000</v>
      </c>
      <c r="BL10" s="3">
        <v>21</v>
      </c>
      <c r="BM10" s="5">
        <f t="shared" si="0"/>
        <v>1.5625</v>
      </c>
      <c r="BR10" s="4"/>
      <c r="BT10" s="5"/>
      <c r="BU10" s="4"/>
      <c r="BW10" s="5"/>
      <c r="BX10" s="4"/>
      <c r="BZ10" s="5"/>
      <c r="CA10" s="4"/>
      <c r="CC10" s="5"/>
      <c r="CD10" s="4"/>
      <c r="CF10" s="5"/>
      <c r="CG10" s="4"/>
      <c r="CI10" s="5"/>
      <c r="CJ10" s="4"/>
      <c r="CL10" s="5"/>
      <c r="CM10" s="4"/>
      <c r="CO10" s="5"/>
      <c r="CP10" s="4"/>
      <c r="CR10" s="5"/>
      <c r="CS10" s="4"/>
      <c r="CU10" s="5"/>
      <c r="CV10" s="6"/>
      <c r="CX10" s="5"/>
      <c r="CY10" s="6"/>
      <c r="DA10" s="5"/>
      <c r="DB10" s="6"/>
      <c r="DD10" s="5"/>
      <c r="DE10" s="6"/>
      <c r="DG10" s="5"/>
      <c r="DH10" s="6"/>
      <c r="DJ10" s="5"/>
      <c r="DK10" s="6"/>
      <c r="DM10" s="5"/>
      <c r="DN10" s="6"/>
      <c r="DP10" s="5"/>
      <c r="DQ10" s="6"/>
      <c r="DR10" s="3">
        <v>310</v>
      </c>
      <c r="DS10" s="5">
        <v>6.9575521984742768</v>
      </c>
      <c r="DT10" s="6">
        <v>4464273</v>
      </c>
      <c r="DU10" s="3">
        <v>258</v>
      </c>
      <c r="DV10" s="5">
        <v>5.7792164592084756</v>
      </c>
      <c r="DW10" s="6">
        <v>4472345</v>
      </c>
      <c r="DX10" s="3">
        <v>250</v>
      </c>
      <c r="DY10" s="5">
        <v>5.5899086497128465</v>
      </c>
      <c r="DZ10" s="6">
        <v>4468000</v>
      </c>
      <c r="EA10" s="3">
        <v>640</v>
      </c>
      <c r="EB10" s="5">
        <v>14.32408236347359</v>
      </c>
    </row>
    <row r="11" spans="1:132" x14ac:dyDescent="0.3">
      <c r="A11" s="3" t="s">
        <v>76</v>
      </c>
      <c r="B11" s="3" t="s">
        <v>67</v>
      </c>
      <c r="C11" s="4">
        <v>5311034</v>
      </c>
      <c r="D11" s="3">
        <v>494</v>
      </c>
      <c r="E11" s="5">
        <v>9.3013902754152955</v>
      </c>
      <c r="F11" s="4">
        <v>5374691</v>
      </c>
      <c r="G11" s="3">
        <v>496</v>
      </c>
      <c r="H11" s="5">
        <v>9.2284375045932876</v>
      </c>
      <c r="I11" s="4">
        <v>5440389</v>
      </c>
      <c r="J11" s="3">
        <v>536</v>
      </c>
      <c r="K11" s="5">
        <v>9.8522366691058298</v>
      </c>
      <c r="L11" s="4">
        <v>5496269</v>
      </c>
      <c r="M11" s="3">
        <v>545</v>
      </c>
      <c r="N11" s="5">
        <v>9.9158174390663927</v>
      </c>
      <c r="O11" s="4">
        <v>5546935</v>
      </c>
      <c r="P11" s="3">
        <v>530</v>
      </c>
      <c r="Q11" s="5">
        <v>9.5548262238515509</v>
      </c>
      <c r="R11" s="4">
        <v>5592379</v>
      </c>
      <c r="S11" s="3">
        <v>566</v>
      </c>
      <c r="T11" s="5">
        <v>10.120916339897564</v>
      </c>
      <c r="U11" s="4">
        <v>5627367</v>
      </c>
      <c r="V11" s="3">
        <v>556</v>
      </c>
      <c r="W11" s="5">
        <v>9.8802868197506939</v>
      </c>
      <c r="X11" s="4">
        <v>5653408</v>
      </c>
      <c r="Y11" s="3">
        <v>568</v>
      </c>
      <c r="Z11" s="5">
        <v>10.047037114604146</v>
      </c>
      <c r="AA11" s="4">
        <v>5684965</v>
      </c>
      <c r="AB11" s="3">
        <v>515</v>
      </c>
      <c r="AC11" s="5">
        <v>9.0589827729810111</v>
      </c>
      <c r="AD11" s="4">
        <v>5730388</v>
      </c>
      <c r="AE11" s="3">
        <v>441</v>
      </c>
      <c r="AF11" s="5">
        <v>7.6958139658256997</v>
      </c>
      <c r="AG11" s="6">
        <v>5788784</v>
      </c>
      <c r="AH11" s="3">
        <v>432</v>
      </c>
      <c r="AI11" s="5">
        <v>7.4627071937733387</v>
      </c>
      <c r="AJ11" s="6">
        <v>5840241</v>
      </c>
      <c r="AK11" s="3">
        <v>409</v>
      </c>
      <c r="AL11" s="5">
        <v>7.0031356582716366</v>
      </c>
      <c r="AM11" s="6">
        <v>5888375</v>
      </c>
      <c r="AN11" s="3">
        <v>398</v>
      </c>
      <c r="AO11" s="5">
        <v>6.7590803914492534</v>
      </c>
      <c r="AP11" s="6">
        <v>5925197</v>
      </c>
      <c r="AQ11" s="3">
        <v>411</v>
      </c>
      <c r="AR11" s="5">
        <v>6.9364782301753012</v>
      </c>
      <c r="AS11" s="6">
        <v>5960064</v>
      </c>
      <c r="AT11" s="3">
        <v>387</v>
      </c>
      <c r="AU11" s="5">
        <v>6.4932188647638682</v>
      </c>
      <c r="AV11" s="6">
        <v>5988528</v>
      </c>
      <c r="AW11" s="3">
        <v>596</v>
      </c>
      <c r="AX11" s="5">
        <v>9.9523622499552484</v>
      </c>
      <c r="AY11" s="6">
        <v>6007014</v>
      </c>
      <c r="AZ11" s="3">
        <v>579</v>
      </c>
      <c r="BA11" s="5">
        <v>9.6387323219156791</v>
      </c>
      <c r="BB11" s="6">
        <v>6028186</v>
      </c>
      <c r="BC11" s="3">
        <v>587</v>
      </c>
      <c r="BD11" s="5">
        <v>9.7375893842691639</v>
      </c>
      <c r="BE11" s="6">
        <v>6042153</v>
      </c>
      <c r="BF11" s="3">
        <v>541</v>
      </c>
      <c r="BG11" s="5">
        <v>8.9537620116537937</v>
      </c>
      <c r="BH11" s="6">
        <v>6054954</v>
      </c>
      <c r="BI11" s="3">
        <v>578</v>
      </c>
      <c r="BJ11" s="5">
        <v>9.5459024131314614</v>
      </c>
      <c r="BK11" s="6">
        <v>6046000</v>
      </c>
      <c r="BL11" s="3">
        <v>641</v>
      </c>
      <c r="BM11" s="5">
        <f t="shared" si="0"/>
        <v>10.602050942772081</v>
      </c>
      <c r="BR11" s="4"/>
      <c r="BT11" s="5"/>
      <c r="BU11" s="4"/>
      <c r="BW11" s="5"/>
      <c r="BX11" s="4"/>
      <c r="BZ11" s="5"/>
      <c r="CA11" s="4"/>
      <c r="CC11" s="5"/>
      <c r="CD11" s="4"/>
      <c r="CF11" s="5"/>
      <c r="CG11" s="4"/>
      <c r="CI11" s="5"/>
      <c r="CJ11" s="4"/>
      <c r="CL11" s="5"/>
      <c r="CM11" s="4"/>
      <c r="CO11" s="5"/>
      <c r="CP11" s="4"/>
      <c r="CR11" s="5"/>
      <c r="CS11" s="4"/>
      <c r="CU11" s="5"/>
      <c r="CV11" s="6"/>
      <c r="CX11" s="5"/>
      <c r="CY11" s="6"/>
      <c r="DA11" s="5"/>
      <c r="DB11" s="6"/>
      <c r="DD11" s="5"/>
      <c r="DE11" s="6"/>
      <c r="DG11" s="5"/>
      <c r="DH11" s="6"/>
      <c r="DJ11" s="5"/>
      <c r="DK11" s="6"/>
      <c r="DM11" s="5"/>
      <c r="DN11" s="6"/>
      <c r="DP11" s="5"/>
      <c r="DQ11" s="6"/>
      <c r="DR11" s="3">
        <v>653</v>
      </c>
      <c r="DS11" s="5">
        <v>13.971880360478792</v>
      </c>
      <c r="DT11" s="6">
        <v>4664450</v>
      </c>
      <c r="DU11" s="3">
        <v>598</v>
      </c>
      <c r="DV11" s="5">
        <v>12.820375392597199</v>
      </c>
      <c r="DW11" s="6">
        <v>4658285</v>
      </c>
      <c r="DX11" s="3">
        <v>650</v>
      </c>
      <c r="DY11" s="5">
        <v>13.953633150397627</v>
      </c>
      <c r="DZ11" s="6">
        <v>4649000</v>
      </c>
      <c r="EA11" s="3">
        <v>734</v>
      </c>
      <c r="EB11" s="5">
        <v>15.788341578834158</v>
      </c>
    </row>
    <row r="12" spans="1:132" x14ac:dyDescent="0.3">
      <c r="A12" s="3" t="s">
        <v>77</v>
      </c>
      <c r="B12" s="3" t="s">
        <v>67</v>
      </c>
      <c r="C12" s="4">
        <v>6361104</v>
      </c>
      <c r="D12" s="3">
        <v>122</v>
      </c>
      <c r="E12" s="5">
        <v>1.9179060741657421</v>
      </c>
      <c r="F12" s="4">
        <v>6397634</v>
      </c>
      <c r="G12" s="3">
        <v>155</v>
      </c>
      <c r="H12" s="5">
        <v>2.4227706680313377</v>
      </c>
      <c r="I12" s="4">
        <v>6417206</v>
      </c>
      <c r="J12" s="3">
        <v>184</v>
      </c>
      <c r="K12" s="5">
        <v>2.8672914660991089</v>
      </c>
      <c r="L12" s="4">
        <v>6422565</v>
      </c>
      <c r="M12" s="3">
        <v>140</v>
      </c>
      <c r="N12" s="5">
        <v>2.1798144510799036</v>
      </c>
      <c r="O12" s="4">
        <v>6412281</v>
      </c>
      <c r="P12" s="3">
        <v>174</v>
      </c>
      <c r="Q12" s="5">
        <v>2.713542965443966</v>
      </c>
      <c r="R12" s="4">
        <v>6403290</v>
      </c>
      <c r="S12" s="3">
        <v>178</v>
      </c>
      <c r="T12" s="5">
        <v>2.7798209982680775</v>
      </c>
      <c r="U12" s="4">
        <v>6410084</v>
      </c>
      <c r="V12" s="3">
        <v>181</v>
      </c>
      <c r="W12" s="5">
        <v>2.8236759455882328</v>
      </c>
      <c r="X12" s="4">
        <v>6431559</v>
      </c>
      <c r="Y12" s="3">
        <v>186</v>
      </c>
      <c r="Z12" s="5">
        <v>2.8919893294922741</v>
      </c>
      <c r="AA12" s="4">
        <v>6468967</v>
      </c>
      <c r="AB12" s="3">
        <v>165</v>
      </c>
      <c r="AC12" s="5">
        <v>2.550639074213858</v>
      </c>
      <c r="AD12" s="4">
        <v>6517613</v>
      </c>
      <c r="AE12" s="3">
        <v>174</v>
      </c>
      <c r="AF12" s="5">
        <v>2.6696890410645739</v>
      </c>
      <c r="AG12" s="6">
        <v>6566440</v>
      </c>
      <c r="AH12" s="3">
        <v>203</v>
      </c>
      <c r="AI12" s="5">
        <v>3.091477269266147</v>
      </c>
      <c r="AJ12" s="6">
        <v>6614218</v>
      </c>
      <c r="AK12" s="3">
        <v>198</v>
      </c>
      <c r="AL12" s="5">
        <v>2.9935511650810422</v>
      </c>
      <c r="AM12" s="6">
        <v>6664269</v>
      </c>
      <c r="AN12" s="3">
        <v>130</v>
      </c>
      <c r="AO12" s="5">
        <v>1.9507015698195858</v>
      </c>
      <c r="AP12" s="6">
        <v>6715158</v>
      </c>
      <c r="AQ12" s="3">
        <v>138</v>
      </c>
      <c r="AR12" s="5">
        <v>2.0550521670525099</v>
      </c>
      <c r="AS12" s="6">
        <v>6764864</v>
      </c>
      <c r="AT12" s="3">
        <v>133</v>
      </c>
      <c r="AU12" s="5">
        <v>1.9660410024503081</v>
      </c>
      <c r="AV12" s="6">
        <v>6797484</v>
      </c>
      <c r="AW12" s="3">
        <v>144</v>
      </c>
      <c r="AX12" s="5">
        <v>2.1184308782484815</v>
      </c>
      <c r="AY12" s="6">
        <v>6827280</v>
      </c>
      <c r="AZ12" s="3">
        <v>137</v>
      </c>
      <c r="BA12" s="5">
        <v>2.0066556520312631</v>
      </c>
      <c r="BB12" s="6">
        <v>6863560</v>
      </c>
      <c r="BC12" s="3">
        <v>171</v>
      </c>
      <c r="BD12" s="5">
        <v>2.4914184475694832</v>
      </c>
      <c r="BE12" s="6">
        <v>6885720</v>
      </c>
      <c r="BF12" s="3">
        <v>158</v>
      </c>
      <c r="BG12" s="5">
        <v>2.2946039048930249</v>
      </c>
      <c r="BH12" s="6">
        <v>6894883</v>
      </c>
      <c r="BI12" s="3">
        <v>157</v>
      </c>
      <c r="BJ12" s="5">
        <v>2.2770509666371423</v>
      </c>
      <c r="BK12" s="6">
        <v>6890000</v>
      </c>
      <c r="BL12" s="3">
        <v>177</v>
      </c>
      <c r="BM12" s="5">
        <f t="shared" si="0"/>
        <v>2.5689404934687956</v>
      </c>
      <c r="BR12" s="4"/>
      <c r="BT12" s="5"/>
      <c r="BU12" s="4"/>
      <c r="BW12" s="5"/>
      <c r="BX12" s="4"/>
      <c r="BZ12" s="5"/>
      <c r="CA12" s="4"/>
      <c r="CC12" s="5"/>
      <c r="CD12" s="4"/>
      <c r="CF12" s="5"/>
      <c r="CG12" s="4"/>
      <c r="CI12" s="5"/>
      <c r="CJ12" s="4"/>
      <c r="CL12" s="5"/>
      <c r="CM12" s="4"/>
      <c r="CO12" s="5"/>
      <c r="CP12" s="4"/>
      <c r="CR12" s="5"/>
      <c r="CS12" s="4"/>
      <c r="CU12" s="5"/>
      <c r="CV12" s="6"/>
      <c r="CX12" s="5"/>
      <c r="CY12" s="6"/>
      <c r="DA12" s="5"/>
      <c r="DB12" s="6"/>
      <c r="DD12" s="5"/>
      <c r="DE12" s="6"/>
      <c r="DG12" s="5"/>
      <c r="DH12" s="6"/>
      <c r="DJ12" s="5"/>
      <c r="DK12" s="6"/>
      <c r="DM12" s="5"/>
      <c r="DN12" s="6"/>
      <c r="DP12" s="5"/>
      <c r="DQ12" s="6"/>
      <c r="DR12" s="3">
        <v>360</v>
      </c>
      <c r="DS12" s="5">
        <v>12.037420327324208</v>
      </c>
      <c r="DT12" s="6">
        <v>2982879</v>
      </c>
      <c r="DU12" s="3">
        <v>382</v>
      </c>
      <c r="DV12" s="5">
        <v>12.806419569818287</v>
      </c>
      <c r="DW12" s="6">
        <v>2978227</v>
      </c>
      <c r="DX12" s="3">
        <v>434</v>
      </c>
      <c r="DY12" s="5">
        <v>14.572428495208728</v>
      </c>
      <c r="DZ12" s="6">
        <v>2976000</v>
      </c>
      <c r="EA12" s="3">
        <v>610</v>
      </c>
      <c r="EB12" s="5">
        <v>20.497311827956988</v>
      </c>
    </row>
    <row r="13" spans="1:132" x14ac:dyDescent="0.3">
      <c r="A13" s="3" t="s">
        <v>78</v>
      </c>
      <c r="B13" s="3" t="s">
        <v>67</v>
      </c>
      <c r="C13" s="4">
        <v>9952450</v>
      </c>
      <c r="D13" s="3">
        <v>715</v>
      </c>
      <c r="E13" s="5">
        <v>7.1841606840526699</v>
      </c>
      <c r="F13" s="4">
        <v>9991120</v>
      </c>
      <c r="G13" s="3">
        <v>675</v>
      </c>
      <c r="H13" s="5">
        <v>6.7559993274027343</v>
      </c>
      <c r="I13" s="4">
        <v>10015710</v>
      </c>
      <c r="J13" s="3">
        <v>690</v>
      </c>
      <c r="K13" s="5">
        <v>6.889177102771546</v>
      </c>
      <c r="L13" s="4">
        <v>10041152</v>
      </c>
      <c r="M13" s="3">
        <v>644</v>
      </c>
      <c r="N13" s="5">
        <v>6.4136067256027989</v>
      </c>
      <c r="O13" s="4">
        <v>10055315</v>
      </c>
      <c r="P13" s="3">
        <v>666</v>
      </c>
      <c r="Q13" s="5">
        <v>6.6233628682940315</v>
      </c>
      <c r="R13" s="4">
        <v>10051137</v>
      </c>
      <c r="S13" s="3">
        <v>670</v>
      </c>
      <c r="T13" s="5">
        <v>6.6659125231304683</v>
      </c>
      <c r="U13" s="4">
        <v>10036081</v>
      </c>
      <c r="V13" s="3">
        <v>713</v>
      </c>
      <c r="W13" s="5">
        <v>7.1043667343856622</v>
      </c>
      <c r="X13" s="4">
        <v>10001284</v>
      </c>
      <c r="Y13" s="3">
        <v>694</v>
      </c>
      <c r="Z13" s="5">
        <v>6.9391090184020365</v>
      </c>
      <c r="AA13" s="4">
        <v>9946889</v>
      </c>
      <c r="AB13" s="3">
        <v>635</v>
      </c>
      <c r="AC13" s="5">
        <v>6.3839055608240924</v>
      </c>
      <c r="AD13" s="4">
        <v>9901591</v>
      </c>
      <c r="AE13" s="3">
        <v>648</v>
      </c>
      <c r="AF13" s="5">
        <v>6.544402813648837</v>
      </c>
      <c r="AG13" s="6">
        <v>9877597</v>
      </c>
      <c r="AH13" s="3">
        <v>600</v>
      </c>
      <c r="AI13" s="5">
        <v>6.0743518894322177</v>
      </c>
      <c r="AJ13" s="6">
        <v>9883053</v>
      </c>
      <c r="AK13" s="3">
        <v>649</v>
      </c>
      <c r="AL13" s="5">
        <v>6.5667967175730011</v>
      </c>
      <c r="AM13" s="6">
        <v>9898289</v>
      </c>
      <c r="AN13" s="3">
        <v>723</v>
      </c>
      <c r="AO13" s="5">
        <v>7.3042926913934316</v>
      </c>
      <c r="AP13" s="6">
        <v>9914802</v>
      </c>
      <c r="AQ13" s="3">
        <v>627</v>
      </c>
      <c r="AR13" s="5">
        <v>6.3238781772949171</v>
      </c>
      <c r="AS13" s="6">
        <v>9932033</v>
      </c>
      <c r="AT13" s="3">
        <v>589</v>
      </c>
      <c r="AU13" s="5">
        <v>5.930306514285645</v>
      </c>
      <c r="AV13" s="6">
        <v>9934483</v>
      </c>
      <c r="AW13" s="3">
        <v>597</v>
      </c>
      <c r="AX13" s="5">
        <v>6.0093715999111375</v>
      </c>
      <c r="AY13" s="6">
        <v>9954117</v>
      </c>
      <c r="AZ13" s="3">
        <v>624</v>
      </c>
      <c r="BA13" s="5">
        <v>6.2687629651128267</v>
      </c>
      <c r="BB13" s="6">
        <v>9976752</v>
      </c>
      <c r="BC13" s="3">
        <v>588</v>
      </c>
      <c r="BD13" s="5">
        <v>5.893701677660224</v>
      </c>
      <c r="BE13" s="6">
        <v>9987286</v>
      </c>
      <c r="BF13" s="3">
        <v>613</v>
      </c>
      <c r="BG13" s="5">
        <v>6.1378036035014922</v>
      </c>
      <c r="BH13" s="6">
        <v>9984795</v>
      </c>
      <c r="BI13" s="3">
        <v>612</v>
      </c>
      <c r="BJ13" s="5">
        <v>6.1293196304981725</v>
      </c>
      <c r="BK13" s="6">
        <v>9987000</v>
      </c>
      <c r="BL13" s="3">
        <v>806</v>
      </c>
      <c r="BM13" s="5">
        <f t="shared" si="0"/>
        <v>8.0704916391308714</v>
      </c>
      <c r="BR13" s="4"/>
      <c r="BT13" s="5"/>
      <c r="BU13" s="4"/>
      <c r="BW13" s="5"/>
      <c r="BX13" s="4"/>
      <c r="BZ13" s="5"/>
      <c r="CA13" s="4"/>
      <c r="CC13" s="5"/>
      <c r="CD13" s="4"/>
      <c r="CF13" s="5"/>
      <c r="CG13" s="4"/>
      <c r="CI13" s="5"/>
      <c r="CJ13" s="4"/>
      <c r="CL13" s="5"/>
      <c r="CM13" s="4"/>
      <c r="CO13" s="5"/>
      <c r="CP13" s="4"/>
      <c r="CR13" s="5"/>
      <c r="CS13" s="4"/>
      <c r="CU13" s="5"/>
      <c r="CV13" s="6"/>
      <c r="CX13" s="5"/>
      <c r="CY13" s="6"/>
      <c r="DA13" s="5"/>
      <c r="DB13" s="6"/>
      <c r="DD13" s="5"/>
      <c r="DE13" s="6"/>
      <c r="DG13" s="5"/>
      <c r="DH13" s="6"/>
      <c r="DJ13" s="5"/>
      <c r="DK13" s="6"/>
      <c r="DM13" s="5"/>
      <c r="DN13" s="6"/>
      <c r="DP13" s="5"/>
      <c r="DQ13" s="6"/>
      <c r="DR13" s="3">
        <v>655</v>
      </c>
      <c r="DS13" s="5">
        <v>10.717706731472521</v>
      </c>
      <c r="DT13" s="6">
        <v>6125986</v>
      </c>
      <c r="DU13" s="3">
        <v>658</v>
      </c>
      <c r="DV13" s="5">
        <v>10.741128040449325</v>
      </c>
      <c r="DW13" s="6">
        <v>6140475</v>
      </c>
      <c r="DX13" s="3">
        <v>628</v>
      </c>
      <c r="DY13" s="5">
        <v>10.227221835444327</v>
      </c>
      <c r="DZ13" s="6">
        <v>6137000</v>
      </c>
      <c r="EA13" s="3">
        <v>859</v>
      </c>
      <c r="EB13" s="5">
        <v>13.997066970832654</v>
      </c>
    </row>
    <row r="14" spans="1:132" x14ac:dyDescent="0.3">
      <c r="A14" s="3" t="s">
        <v>79</v>
      </c>
      <c r="B14" s="3" t="s">
        <v>67</v>
      </c>
      <c r="C14" s="4">
        <v>4933692</v>
      </c>
      <c r="D14" s="3">
        <v>137</v>
      </c>
      <c r="E14" s="5">
        <v>2.7768251443341012</v>
      </c>
      <c r="F14" s="4">
        <v>4982796</v>
      </c>
      <c r="G14" s="3">
        <v>123</v>
      </c>
      <c r="H14" s="5">
        <v>2.4684935927539478</v>
      </c>
      <c r="I14" s="4">
        <v>5018935</v>
      </c>
      <c r="J14" s="3">
        <v>124</v>
      </c>
      <c r="K14" s="5">
        <v>2.4706436724125735</v>
      </c>
      <c r="L14" s="4">
        <v>5053572</v>
      </c>
      <c r="M14" s="3">
        <v>130</v>
      </c>
      <c r="N14" s="5">
        <v>2.5724378716678027</v>
      </c>
      <c r="O14" s="4">
        <v>5087713</v>
      </c>
      <c r="P14" s="3">
        <v>132</v>
      </c>
      <c r="Q14" s="5">
        <v>2.5944859704153909</v>
      </c>
      <c r="R14" s="4">
        <v>5119598</v>
      </c>
      <c r="S14" s="3">
        <v>139</v>
      </c>
      <c r="T14" s="5">
        <v>2.715056924391329</v>
      </c>
      <c r="U14" s="4">
        <v>5163555</v>
      </c>
      <c r="V14" s="3">
        <v>125</v>
      </c>
      <c r="W14" s="5">
        <v>2.4208127927367871</v>
      </c>
      <c r="X14" s="4">
        <v>5207203</v>
      </c>
      <c r="Y14" s="3">
        <v>117</v>
      </c>
      <c r="Z14" s="5">
        <v>2.2468876285406965</v>
      </c>
      <c r="AA14" s="4">
        <v>5247018</v>
      </c>
      <c r="AB14" s="3">
        <v>127</v>
      </c>
      <c r="AC14" s="5">
        <v>2.4204224189816008</v>
      </c>
      <c r="AD14" s="4">
        <v>5281203</v>
      </c>
      <c r="AE14" s="3">
        <v>90</v>
      </c>
      <c r="AF14" s="5">
        <v>1.7041571778248252</v>
      </c>
      <c r="AG14" s="6">
        <v>5310934</v>
      </c>
      <c r="AH14" s="3">
        <v>109</v>
      </c>
      <c r="AI14" s="5">
        <v>2.0523696961777342</v>
      </c>
      <c r="AJ14" s="6">
        <v>5346620</v>
      </c>
      <c r="AK14" s="3">
        <v>99</v>
      </c>
      <c r="AL14" s="5">
        <v>1.851637109052074</v>
      </c>
      <c r="AM14" s="6">
        <v>5377500</v>
      </c>
      <c r="AN14" s="3">
        <v>103</v>
      </c>
      <c r="AO14" s="5">
        <v>1.9153881915388191</v>
      </c>
      <c r="AP14" s="6">
        <v>5414722</v>
      </c>
      <c r="AQ14" s="3">
        <v>128</v>
      </c>
      <c r="AR14" s="5">
        <v>2.3639256087385463</v>
      </c>
      <c r="AS14" s="6">
        <v>5452665</v>
      </c>
      <c r="AT14" s="3">
        <v>101</v>
      </c>
      <c r="AU14" s="5">
        <v>1.8523052489012253</v>
      </c>
      <c r="AV14" s="6">
        <v>5484002</v>
      </c>
      <c r="AW14" s="3">
        <v>147</v>
      </c>
      <c r="AX14" s="5">
        <v>2.6805241865338489</v>
      </c>
      <c r="AY14" s="6">
        <v>5525360</v>
      </c>
      <c r="AZ14" s="3">
        <v>129</v>
      </c>
      <c r="BA14" s="5">
        <v>2.3346895043942837</v>
      </c>
      <c r="BB14" s="6">
        <v>5569283</v>
      </c>
      <c r="BC14" s="3">
        <v>122</v>
      </c>
      <c r="BD14" s="5">
        <v>2.1905871904875367</v>
      </c>
      <c r="BE14" s="6">
        <v>5608762</v>
      </c>
      <c r="BF14" s="3">
        <v>122</v>
      </c>
      <c r="BG14" s="5">
        <v>2.1751680673916991</v>
      </c>
      <c r="BH14" s="6">
        <v>5640053</v>
      </c>
      <c r="BI14" s="3">
        <v>154</v>
      </c>
      <c r="BJ14" s="5">
        <v>2.7304707952212506</v>
      </c>
      <c r="BK14" s="6">
        <v>6890000</v>
      </c>
      <c r="BL14" s="3">
        <v>197</v>
      </c>
      <c r="BM14" s="5">
        <f t="shared" si="0"/>
        <v>2.8592162554426706</v>
      </c>
      <c r="BR14" s="4"/>
      <c r="BT14" s="5"/>
      <c r="BU14" s="4"/>
      <c r="BW14" s="5"/>
      <c r="BX14" s="4"/>
      <c r="BZ14" s="5"/>
      <c r="CA14" s="4"/>
      <c r="CC14" s="5"/>
      <c r="CD14" s="4"/>
      <c r="CF14" s="5"/>
      <c r="CG14" s="4"/>
      <c r="CI14" s="5"/>
      <c r="CJ14" s="4"/>
      <c r="CL14" s="5"/>
      <c r="CM14" s="4"/>
      <c r="CO14" s="5"/>
      <c r="CP14" s="4"/>
      <c r="CR14" s="5"/>
      <c r="CS14" s="4"/>
      <c r="CU14" s="5"/>
      <c r="CV14" s="6"/>
      <c r="CX14" s="5"/>
      <c r="CY14" s="6"/>
      <c r="DA14" s="5"/>
      <c r="DB14" s="6"/>
      <c r="DD14" s="5"/>
      <c r="DE14" s="6"/>
      <c r="DG14" s="5"/>
      <c r="DH14" s="6"/>
      <c r="DJ14" s="5"/>
      <c r="DK14" s="6"/>
      <c r="DM14" s="5"/>
      <c r="DN14" s="6"/>
      <c r="DP14" s="5"/>
      <c r="DQ14" s="6"/>
      <c r="DR14" s="3">
        <v>42</v>
      </c>
      <c r="DS14" s="5">
        <v>3.9853415342805794</v>
      </c>
      <c r="DT14" s="6">
        <v>1061818</v>
      </c>
      <c r="DU14" s="3">
        <v>42</v>
      </c>
      <c r="DV14" s="5">
        <v>3.9554801293630359</v>
      </c>
      <c r="DW14" s="6">
        <v>1070123</v>
      </c>
      <c r="DX14" s="3">
        <v>39</v>
      </c>
      <c r="DY14" s="5">
        <v>3.6444408726847288</v>
      </c>
      <c r="DZ14" s="6">
        <v>1080577</v>
      </c>
      <c r="EA14" s="3">
        <v>50</v>
      </c>
      <c r="EB14" s="5">
        <v>4.6271575278763111</v>
      </c>
    </row>
    <row r="15" spans="1:132" x14ac:dyDescent="0.3">
      <c r="A15" s="3" t="s">
        <v>80</v>
      </c>
      <c r="B15" s="3" t="s">
        <v>67</v>
      </c>
      <c r="C15" s="4">
        <v>2018741</v>
      </c>
      <c r="D15" s="3">
        <v>130</v>
      </c>
      <c r="E15" s="5">
        <v>6.4396571922797419</v>
      </c>
      <c r="F15" s="4">
        <v>2098399</v>
      </c>
      <c r="G15" s="3">
        <v>173</v>
      </c>
      <c r="H15" s="5">
        <v>8.2443805968264368</v>
      </c>
      <c r="I15" s="4">
        <v>2173791</v>
      </c>
      <c r="J15" s="3">
        <v>174</v>
      </c>
      <c r="K15" s="5">
        <v>8.0044493697876202</v>
      </c>
      <c r="L15" s="4">
        <v>2248850</v>
      </c>
      <c r="M15" s="3">
        <v>183</v>
      </c>
      <c r="N15" s="5">
        <v>8.1374924961647075</v>
      </c>
      <c r="O15" s="4">
        <v>2346222</v>
      </c>
      <c r="P15" s="3">
        <v>186</v>
      </c>
      <c r="Q15" s="5">
        <v>7.9276385610568818</v>
      </c>
      <c r="R15" s="4">
        <v>2432143</v>
      </c>
      <c r="S15" s="3">
        <v>188</v>
      </c>
      <c r="T15" s="5">
        <v>7.7298086502315044</v>
      </c>
      <c r="U15" s="4">
        <v>2522658</v>
      </c>
      <c r="V15" s="3">
        <v>216</v>
      </c>
      <c r="W15" s="5">
        <v>8.5623972809631752</v>
      </c>
      <c r="X15" s="4">
        <v>2601072</v>
      </c>
      <c r="Y15" s="3">
        <v>185</v>
      </c>
      <c r="Z15" s="5">
        <v>7.1124520966739873</v>
      </c>
      <c r="AA15" s="4">
        <v>2653630</v>
      </c>
      <c r="AB15" s="3">
        <v>161</v>
      </c>
      <c r="AC15" s="5">
        <v>6.0671608325199822</v>
      </c>
      <c r="AD15" s="4">
        <v>2684665</v>
      </c>
      <c r="AE15" s="3">
        <v>150</v>
      </c>
      <c r="AF15" s="5">
        <v>5.5872892893526753</v>
      </c>
      <c r="AG15" s="6">
        <v>2702483</v>
      </c>
      <c r="AH15" s="3">
        <v>162</v>
      </c>
      <c r="AI15" s="5">
        <v>5.9944872918719563</v>
      </c>
      <c r="AJ15" s="6">
        <v>2713114</v>
      </c>
      <c r="AK15" s="3">
        <v>127</v>
      </c>
      <c r="AL15" s="5">
        <v>4.6809680684261705</v>
      </c>
      <c r="AM15" s="6">
        <v>2744670</v>
      </c>
      <c r="AN15" s="3">
        <v>122</v>
      </c>
      <c r="AO15" s="5">
        <v>4.4449788134821313</v>
      </c>
      <c r="AP15" s="6">
        <v>2776956</v>
      </c>
      <c r="AQ15" s="3">
        <v>150</v>
      </c>
      <c r="AR15" s="5">
        <v>5.4015980087549096</v>
      </c>
      <c r="AS15" s="6">
        <v>2818935</v>
      </c>
      <c r="AT15" s="3">
        <v>176</v>
      </c>
      <c r="AU15" s="5">
        <v>6.2434926665566959</v>
      </c>
      <c r="AV15" s="6">
        <v>2868531</v>
      </c>
      <c r="AW15" s="3">
        <v>191</v>
      </c>
      <c r="AX15" s="5">
        <v>6.6584603757114706</v>
      </c>
      <c r="AY15" s="6">
        <v>2919555</v>
      </c>
      <c r="AZ15" s="3">
        <v>211</v>
      </c>
      <c r="BA15" s="5">
        <v>7.2271287918878047</v>
      </c>
      <c r="BB15" s="6">
        <v>2972097</v>
      </c>
      <c r="BC15" s="3">
        <v>221</v>
      </c>
      <c r="BD15" s="5">
        <v>7.4358272963500189</v>
      </c>
      <c r="BE15" s="6">
        <v>3030725</v>
      </c>
      <c r="BF15" s="3">
        <v>225</v>
      </c>
      <c r="BG15" s="5">
        <v>7.4239662127048804</v>
      </c>
      <c r="BH15" s="6">
        <v>3090771</v>
      </c>
      <c r="BI15" s="3">
        <v>166</v>
      </c>
      <c r="BJ15" s="5">
        <v>5.3708281849415567</v>
      </c>
      <c r="BK15" s="6">
        <v>3104614</v>
      </c>
      <c r="BL15" s="3">
        <v>212</v>
      </c>
      <c r="BM15" s="5">
        <f t="shared" si="0"/>
        <v>6.828546157428911</v>
      </c>
      <c r="BR15" s="4"/>
      <c r="BT15" s="5"/>
      <c r="BU15" s="4"/>
      <c r="BW15" s="5"/>
      <c r="BX15" s="4"/>
      <c r="BZ15" s="5"/>
      <c r="CA15" s="4"/>
      <c r="CC15" s="5"/>
      <c r="CD15" s="4"/>
      <c r="CF15" s="5"/>
      <c r="CG15" s="4"/>
      <c r="CI15" s="5"/>
      <c r="CJ15" s="4"/>
      <c r="CL15" s="5"/>
      <c r="CM15" s="4"/>
      <c r="CO15" s="5"/>
      <c r="CP15" s="4"/>
      <c r="CR15" s="5"/>
      <c r="CS15" s="4"/>
      <c r="CU15" s="5"/>
      <c r="CV15" s="6"/>
      <c r="CX15" s="5"/>
      <c r="CY15" s="6"/>
      <c r="DA15" s="5"/>
      <c r="DB15" s="6"/>
      <c r="DD15" s="5"/>
      <c r="DE15" s="6"/>
      <c r="DG15" s="5"/>
      <c r="DH15" s="6"/>
      <c r="DJ15" s="5"/>
      <c r="DK15" s="6"/>
      <c r="DM15" s="5"/>
      <c r="DN15" s="6"/>
      <c r="DP15" s="5"/>
      <c r="DQ15" s="6"/>
      <c r="DR15" s="3">
        <v>50</v>
      </c>
      <c r="DS15" s="5">
        <v>2.6082447660352281</v>
      </c>
      <c r="DT15" s="6">
        <v>1925512</v>
      </c>
      <c r="DU15" s="3">
        <v>35</v>
      </c>
      <c r="DV15" s="5">
        <v>1.8176983576316323</v>
      </c>
      <c r="DW15" s="6">
        <v>1932571</v>
      </c>
      <c r="DX15" s="3">
        <v>58</v>
      </c>
      <c r="DY15" s="5">
        <v>3.0011833976604225</v>
      </c>
      <c r="DZ15" s="6">
        <v>1961504</v>
      </c>
      <c r="EA15" s="3">
        <v>70</v>
      </c>
      <c r="EB15" s="5">
        <v>3.5686901479680899</v>
      </c>
    </row>
    <row r="16" spans="1:132" x14ac:dyDescent="0.3">
      <c r="A16" s="3" t="s">
        <v>81</v>
      </c>
      <c r="B16" s="3" t="s">
        <v>67</v>
      </c>
      <c r="C16" s="4">
        <v>1239882</v>
      </c>
      <c r="D16" s="3">
        <v>15</v>
      </c>
      <c r="E16" s="5">
        <v>1.2097925447744222</v>
      </c>
      <c r="F16" s="4">
        <v>1255517</v>
      </c>
      <c r="G16" s="3">
        <v>19</v>
      </c>
      <c r="H16" s="5">
        <v>1.5133208072849671</v>
      </c>
      <c r="I16" s="4">
        <v>1269089</v>
      </c>
      <c r="J16" s="3">
        <v>12</v>
      </c>
      <c r="K16" s="5">
        <f>(J16/I16)*100000</f>
        <v>0.94556016165926893</v>
      </c>
      <c r="L16" s="4">
        <v>1279840</v>
      </c>
      <c r="M16" s="3">
        <v>20</v>
      </c>
      <c r="N16" s="5">
        <v>1.5626953369171148</v>
      </c>
      <c r="O16" s="4">
        <v>1290121</v>
      </c>
      <c r="P16" s="3">
        <v>23</v>
      </c>
      <c r="Q16" s="5">
        <v>1.7827785145734392</v>
      </c>
      <c r="R16" s="4">
        <v>1298492</v>
      </c>
      <c r="S16" s="3">
        <v>18</v>
      </c>
      <c r="T16" s="5">
        <v>1.3862234037637506</v>
      </c>
      <c r="U16" s="4">
        <v>1308389</v>
      </c>
      <c r="V16" s="3">
        <v>19</v>
      </c>
      <c r="W16" s="5">
        <v>1.4521675128727007</v>
      </c>
      <c r="X16" s="4">
        <v>1312540</v>
      </c>
      <c r="Y16" s="3">
        <v>13</v>
      </c>
      <c r="Z16" s="5">
        <v>0.99044600545507178</v>
      </c>
      <c r="AA16" s="4">
        <v>1315906</v>
      </c>
      <c r="AB16" s="3">
        <v>20</v>
      </c>
      <c r="AC16" s="5">
        <v>1.5198654007201122</v>
      </c>
      <c r="AD16" s="4">
        <v>1316102</v>
      </c>
      <c r="AE16" s="3">
        <v>15</v>
      </c>
      <c r="AF16" s="5">
        <v>1.1397292914986832</v>
      </c>
      <c r="AG16" s="6">
        <v>1316807</v>
      </c>
      <c r="AH16" s="3">
        <v>18</v>
      </c>
      <c r="AI16" s="5">
        <v>1.3669429157044275</v>
      </c>
      <c r="AJ16" s="6">
        <v>1320444</v>
      </c>
      <c r="AK16" s="3">
        <v>21</v>
      </c>
      <c r="AL16" s="5">
        <v>1.5903741468778683</v>
      </c>
      <c r="AM16" s="6">
        <v>1324677</v>
      </c>
      <c r="AN16" s="3">
        <v>16</v>
      </c>
      <c r="AO16" s="5">
        <v>1.2078416096905134</v>
      </c>
      <c r="AP16" s="6">
        <v>1327272</v>
      </c>
      <c r="AQ16" s="3">
        <v>22</v>
      </c>
      <c r="AR16" s="5">
        <v>1.6575351548137836</v>
      </c>
      <c r="AS16" s="6">
        <v>1334257</v>
      </c>
      <c r="AT16" s="3">
        <v>17</v>
      </c>
      <c r="AU16" s="5">
        <v>1.2741173552021836</v>
      </c>
      <c r="AV16" s="6">
        <v>1337480</v>
      </c>
      <c r="AW16" s="3">
        <v>18</v>
      </c>
      <c r="AX16" s="5">
        <v>1.3458145168525883</v>
      </c>
      <c r="AY16" s="6">
        <v>1343694</v>
      </c>
      <c r="AZ16" s="3">
        <v>18</v>
      </c>
      <c r="BA16" s="5">
        <v>1.3395907103849536</v>
      </c>
      <c r="BB16" s="6">
        <v>1350395</v>
      </c>
      <c r="BC16" s="3">
        <v>17</v>
      </c>
      <c r="BD16" s="5">
        <v>1.258890917102033</v>
      </c>
      <c r="BE16" s="6">
        <v>1355064</v>
      </c>
      <c r="BF16" s="3">
        <v>21</v>
      </c>
      <c r="BG16" s="5">
        <v>1.5497422999946866</v>
      </c>
      <c r="BH16" s="6">
        <v>1360783</v>
      </c>
      <c r="BI16" s="3">
        <v>38</v>
      </c>
      <c r="BJ16" s="5">
        <v>2.7925099005499043</v>
      </c>
      <c r="BK16" s="6">
        <v>1360000</v>
      </c>
      <c r="BL16" s="3">
        <v>14</v>
      </c>
      <c r="BM16" s="5">
        <f t="shared" si="0"/>
        <v>1.0294117647058825</v>
      </c>
      <c r="BR16" s="4"/>
      <c r="BT16" s="5"/>
      <c r="BU16" s="4"/>
      <c r="BW16" s="5"/>
      <c r="BX16" s="4"/>
      <c r="BZ16" s="5"/>
      <c r="CA16" s="4"/>
      <c r="CC16" s="5"/>
      <c r="CD16" s="4"/>
      <c r="CF16" s="5"/>
      <c r="CG16" s="4"/>
      <c r="CI16" s="5"/>
      <c r="CJ16" s="4"/>
      <c r="CL16" s="5"/>
      <c r="CM16" s="4"/>
      <c r="CO16" s="5"/>
      <c r="CP16" s="4"/>
      <c r="CR16" s="5"/>
      <c r="CS16" s="4"/>
      <c r="CU16" s="5"/>
      <c r="CV16" s="6"/>
      <c r="CX16" s="5"/>
      <c r="CY16" s="6"/>
      <c r="DA16" s="5"/>
      <c r="DB16" s="6"/>
      <c r="DD16" s="5"/>
      <c r="DE16" s="6"/>
      <c r="DG16" s="5"/>
      <c r="DH16" s="6"/>
      <c r="DJ16" s="5"/>
      <c r="DK16" s="6"/>
      <c r="DM16" s="5"/>
      <c r="DN16" s="6"/>
      <c r="DP16" s="5"/>
      <c r="DQ16" s="6"/>
      <c r="DR16" s="3">
        <v>679</v>
      </c>
      <c r="DS16" s="5">
        <v>6.6077850412592438</v>
      </c>
      <c r="DT16" s="6">
        <v>10391358</v>
      </c>
      <c r="DU16" s="3">
        <v>647</v>
      </c>
      <c r="DV16" s="5">
        <v>6.2263276849859279</v>
      </c>
      <c r="DW16" s="6">
        <v>10501384</v>
      </c>
      <c r="DX16" s="3">
        <v>707</v>
      </c>
      <c r="DY16" s="5">
        <v>6.7324459328408528</v>
      </c>
      <c r="DZ16" s="6">
        <v>10490000</v>
      </c>
      <c r="EA16" s="3">
        <v>803</v>
      </c>
      <c r="EB16" s="5">
        <v>7.6549094375595796</v>
      </c>
    </row>
    <row r="17" spans="1:132" x14ac:dyDescent="0.3">
      <c r="A17" s="3" t="s">
        <v>82</v>
      </c>
      <c r="B17" s="3" t="s">
        <v>67</v>
      </c>
      <c r="C17" s="4">
        <v>8430621</v>
      </c>
      <c r="D17" s="3">
        <v>317</v>
      </c>
      <c r="E17" s="5">
        <v>3.7601026069135357</v>
      </c>
      <c r="F17" s="4">
        <v>8492671</v>
      </c>
      <c r="G17" s="3">
        <v>354</v>
      </c>
      <c r="H17" s="5">
        <v>4.1682999376756733</v>
      </c>
      <c r="I17" s="4">
        <v>8552643</v>
      </c>
      <c r="J17" s="3">
        <v>333</v>
      </c>
      <c r="K17" s="5">
        <v>3.8935332621740439</v>
      </c>
      <c r="L17" s="4">
        <v>8601402</v>
      </c>
      <c r="M17" s="3">
        <v>419</v>
      </c>
      <c r="N17" s="5">
        <v>4.8712988882510082</v>
      </c>
      <c r="O17" s="4">
        <v>8634561</v>
      </c>
      <c r="P17" s="3">
        <v>399</v>
      </c>
      <c r="Q17" s="5">
        <v>4.6209645168990061</v>
      </c>
      <c r="R17" s="4">
        <v>8651974</v>
      </c>
      <c r="S17" s="3">
        <v>424</v>
      </c>
      <c r="T17" s="5">
        <v>4.9006157438753286</v>
      </c>
      <c r="U17" s="4">
        <v>8661679</v>
      </c>
      <c r="V17" s="3">
        <v>445</v>
      </c>
      <c r="W17" s="5">
        <v>5.1375720573343804</v>
      </c>
      <c r="X17" s="4">
        <v>8677885</v>
      </c>
      <c r="Y17" s="3">
        <v>401</v>
      </c>
      <c r="Z17" s="5">
        <v>4.6209416234485703</v>
      </c>
      <c r="AA17" s="4">
        <v>8711090</v>
      </c>
      <c r="AB17" s="3">
        <v>367</v>
      </c>
      <c r="AC17" s="5">
        <v>4.2130204142076364</v>
      </c>
      <c r="AD17" s="4">
        <v>8755602</v>
      </c>
      <c r="AE17" s="3">
        <v>323</v>
      </c>
      <c r="AF17" s="5">
        <v>3.6890667255089942</v>
      </c>
      <c r="AG17" s="6">
        <v>8799451</v>
      </c>
      <c r="AH17" s="3">
        <v>385</v>
      </c>
      <c r="AI17" s="5">
        <v>4.3752729573697273</v>
      </c>
      <c r="AJ17" s="6">
        <v>8828552</v>
      </c>
      <c r="AK17" s="3">
        <v>408</v>
      </c>
      <c r="AL17" s="5">
        <v>4.6213693933048132</v>
      </c>
      <c r="AM17" s="6">
        <v>8845671</v>
      </c>
      <c r="AN17" s="3">
        <v>399</v>
      </c>
      <c r="AO17" s="5">
        <v>4.5106809873439788</v>
      </c>
      <c r="AP17" s="6">
        <v>8857821</v>
      </c>
      <c r="AQ17" s="3">
        <v>417</v>
      </c>
      <c r="AR17" s="5">
        <v>4.7077040730446011</v>
      </c>
      <c r="AS17" s="6">
        <v>8867277</v>
      </c>
      <c r="AT17" s="3">
        <v>372</v>
      </c>
      <c r="AU17" s="5">
        <v>4.1951999469510195</v>
      </c>
      <c r="AV17" s="6">
        <v>8870312</v>
      </c>
      <c r="AW17" s="3">
        <v>388</v>
      </c>
      <c r="AX17" s="5">
        <v>4.3741415183592194</v>
      </c>
      <c r="AY17" s="6">
        <v>8873584</v>
      </c>
      <c r="AZ17" s="3">
        <v>395</v>
      </c>
      <c r="BA17" s="5">
        <v>4.4514144453920768</v>
      </c>
      <c r="BB17" s="6">
        <v>8888147</v>
      </c>
      <c r="BC17" s="3">
        <v>352</v>
      </c>
      <c r="BD17" s="5">
        <v>3.9603305390876189</v>
      </c>
      <c r="BE17" s="6">
        <v>8891730</v>
      </c>
      <c r="BF17" s="3">
        <v>311</v>
      </c>
      <c r="BG17" s="5">
        <v>3.4976320693498342</v>
      </c>
      <c r="BH17" s="6">
        <v>8891258</v>
      </c>
      <c r="BI17" s="3">
        <v>287</v>
      </c>
      <c r="BJ17" s="5">
        <v>3.2278896867012521</v>
      </c>
      <c r="BK17" s="6">
        <v>8882000</v>
      </c>
      <c r="BL17" s="3">
        <v>360</v>
      </c>
      <c r="BM17" s="5">
        <f t="shared" si="0"/>
        <v>4.0531411844179237</v>
      </c>
      <c r="BR17" s="4"/>
      <c r="BT17" s="5"/>
      <c r="BU17" s="4"/>
      <c r="BW17" s="5"/>
      <c r="BX17" s="4"/>
      <c r="BZ17" s="5"/>
      <c r="CA17" s="4"/>
      <c r="CC17" s="5"/>
      <c r="CD17" s="4"/>
      <c r="CF17" s="5"/>
      <c r="CG17" s="4"/>
      <c r="CI17" s="5"/>
      <c r="CJ17" s="4"/>
      <c r="CL17" s="5"/>
      <c r="CM17" s="4"/>
      <c r="CO17" s="5"/>
      <c r="CP17" s="4"/>
      <c r="CR17" s="5"/>
      <c r="CS17" s="4"/>
      <c r="CU17" s="5"/>
      <c r="CV17" s="6"/>
      <c r="CX17" s="5"/>
      <c r="CY17" s="6"/>
      <c r="DA17" s="5"/>
      <c r="DB17" s="6"/>
      <c r="DD17" s="5"/>
      <c r="DE17" s="6"/>
      <c r="DG17" s="5"/>
      <c r="DH17" s="6"/>
      <c r="DJ17" s="5"/>
      <c r="DK17" s="6"/>
      <c r="DM17" s="5"/>
      <c r="DN17" s="6"/>
      <c r="DP17" s="5"/>
      <c r="DQ17" s="6"/>
      <c r="DR17" s="3">
        <v>15</v>
      </c>
      <c r="DS17" s="5">
        <v>1.9821474585566001</v>
      </c>
      <c r="DT17" s="6">
        <v>760062</v>
      </c>
      <c r="DU17" s="3">
        <v>20</v>
      </c>
      <c r="DV17" s="5">
        <v>2.631364283440035</v>
      </c>
      <c r="DW17" s="6">
        <v>763724</v>
      </c>
      <c r="DX17" s="3">
        <v>21</v>
      </c>
      <c r="DY17" s="5">
        <v>2.7496844409760595</v>
      </c>
      <c r="DZ17" s="6">
        <v>779094</v>
      </c>
      <c r="EA17" s="3">
        <v>32</v>
      </c>
      <c r="EB17" s="5">
        <v>4.1073349300597881</v>
      </c>
    </row>
    <row r="18" spans="1:132" x14ac:dyDescent="0.3">
      <c r="A18" s="3" t="s">
        <v>83</v>
      </c>
      <c r="B18" s="3" t="s">
        <v>67</v>
      </c>
      <c r="C18" s="4">
        <v>1821204</v>
      </c>
      <c r="D18" s="3">
        <v>160</v>
      </c>
      <c r="E18" s="5">
        <v>8.7853969132507945</v>
      </c>
      <c r="F18" s="4">
        <v>1831690</v>
      </c>
      <c r="G18" s="3">
        <v>128</v>
      </c>
      <c r="H18" s="5">
        <v>6.9880820444507528</v>
      </c>
      <c r="I18" s="4">
        <v>1855309</v>
      </c>
      <c r="J18" s="3">
        <v>160</v>
      </c>
      <c r="K18" s="5">
        <v>8.6239003853266478</v>
      </c>
      <c r="L18" s="4">
        <v>1877574</v>
      </c>
      <c r="M18" s="3">
        <v>159</v>
      </c>
      <c r="N18" s="5">
        <v>8.4683746153280772</v>
      </c>
      <c r="O18" s="4">
        <v>1903808</v>
      </c>
      <c r="P18" s="3">
        <v>169</v>
      </c>
      <c r="Q18" s="5">
        <v>8.8769455743436314</v>
      </c>
      <c r="R18" s="4">
        <v>1932274</v>
      </c>
      <c r="S18" s="3">
        <v>151</v>
      </c>
      <c r="T18" s="5">
        <v>7.8146267040802702</v>
      </c>
      <c r="U18" s="4">
        <v>1962137</v>
      </c>
      <c r="V18" s="3">
        <v>131</v>
      </c>
      <c r="W18" s="5">
        <v>6.6763941559636262</v>
      </c>
      <c r="X18" s="4">
        <v>1990070</v>
      </c>
      <c r="Y18" s="3">
        <v>157</v>
      </c>
      <c r="Z18" s="5">
        <v>7.8891697276980199</v>
      </c>
      <c r="AA18" s="4">
        <v>2010662</v>
      </c>
      <c r="AB18" s="3">
        <v>151</v>
      </c>
      <c r="AC18" s="5">
        <v>7.5099643798908016</v>
      </c>
      <c r="AD18" s="4">
        <v>2036802</v>
      </c>
      <c r="AE18" s="3">
        <v>170</v>
      </c>
      <c r="AF18" s="5">
        <v>8.3464175702891108</v>
      </c>
      <c r="AG18" s="6">
        <v>2064614</v>
      </c>
      <c r="AH18" s="3">
        <v>149</v>
      </c>
      <c r="AI18" s="5">
        <v>7.2168453764238736</v>
      </c>
      <c r="AJ18" s="6">
        <v>2080707</v>
      </c>
      <c r="AK18" s="3">
        <v>147</v>
      </c>
      <c r="AL18" s="5">
        <v>7.064906303482422</v>
      </c>
      <c r="AM18" s="6">
        <v>2087715</v>
      </c>
      <c r="AN18" s="3">
        <v>128</v>
      </c>
      <c r="AO18" s="5">
        <v>6.1311050598381476</v>
      </c>
      <c r="AP18" s="6">
        <v>2092833</v>
      </c>
      <c r="AQ18" s="3">
        <v>134</v>
      </c>
      <c r="AR18" s="5">
        <v>6.402804237127377</v>
      </c>
      <c r="AS18" s="6">
        <v>2090236</v>
      </c>
      <c r="AT18" s="3">
        <v>135</v>
      </c>
      <c r="AU18" s="5">
        <v>6.4586008469856999</v>
      </c>
      <c r="AV18" s="6">
        <v>2090071</v>
      </c>
      <c r="AW18" s="3">
        <v>157</v>
      </c>
      <c r="AX18" s="5">
        <v>7.511706540112753</v>
      </c>
      <c r="AY18" s="6">
        <v>2092555</v>
      </c>
      <c r="AZ18" s="3">
        <v>185</v>
      </c>
      <c r="BA18" s="5">
        <v>8.840866787252903</v>
      </c>
      <c r="BB18" s="6">
        <v>2092844</v>
      </c>
      <c r="BC18" s="3">
        <v>173</v>
      </c>
      <c r="BD18" s="5">
        <v>8.2662635151019366</v>
      </c>
      <c r="BE18" s="6">
        <v>2093754</v>
      </c>
      <c r="BF18" s="3">
        <v>215</v>
      </c>
      <c r="BG18" s="5">
        <v>10.268637098723154</v>
      </c>
      <c r="BH18" s="6">
        <v>2099634</v>
      </c>
      <c r="BI18" s="3">
        <v>230</v>
      </c>
      <c r="BJ18" s="5">
        <v>10.954290128660519</v>
      </c>
      <c r="BK18" s="6">
        <v>2097000</v>
      </c>
      <c r="BL18" s="3">
        <v>213</v>
      </c>
      <c r="BM18" s="5">
        <f t="shared" si="0"/>
        <v>10.157367668097283</v>
      </c>
      <c r="BR18" s="4"/>
      <c r="BT18" s="5"/>
      <c r="BU18" s="4"/>
      <c r="BW18" s="5"/>
      <c r="BX18" s="4"/>
      <c r="BZ18" s="5"/>
      <c r="CA18" s="4"/>
      <c r="CC18" s="5"/>
      <c r="CD18" s="4"/>
      <c r="CF18" s="5"/>
      <c r="CG18" s="4"/>
      <c r="CI18" s="5"/>
      <c r="CJ18" s="4"/>
      <c r="CL18" s="5"/>
      <c r="CM18" s="4"/>
      <c r="CO18" s="5"/>
      <c r="CP18" s="4"/>
      <c r="CR18" s="5"/>
      <c r="CS18" s="4"/>
      <c r="CU18" s="5"/>
      <c r="CV18" s="6"/>
      <c r="CX18" s="5"/>
      <c r="CY18" s="6"/>
      <c r="DA18" s="5"/>
      <c r="DB18" s="6"/>
      <c r="DD18" s="5"/>
      <c r="DE18" s="6"/>
      <c r="DG18" s="5"/>
      <c r="DH18" s="6"/>
      <c r="DJ18" s="5"/>
      <c r="DK18" s="6"/>
      <c r="DM18" s="5"/>
      <c r="DN18" s="6"/>
      <c r="DP18" s="5"/>
      <c r="DQ18" s="6"/>
      <c r="DR18" s="3">
        <v>828</v>
      </c>
      <c r="DS18" s="5">
        <v>7.0977273042883127</v>
      </c>
      <c r="DT18" s="6">
        <v>11680892</v>
      </c>
      <c r="DU18" s="3">
        <v>760</v>
      </c>
      <c r="DV18" s="5">
        <v>6.5063524258250141</v>
      </c>
      <c r="DW18" s="6">
        <v>11696507</v>
      </c>
      <c r="DX18" s="3">
        <v>724</v>
      </c>
      <c r="DY18" s="5">
        <v>6.1898821588359665</v>
      </c>
      <c r="DZ18" s="6">
        <v>11690000</v>
      </c>
      <c r="EA18" s="3">
        <v>818</v>
      </c>
      <c r="EB18" s="5">
        <v>6.9974337040205308</v>
      </c>
    </row>
    <row r="19" spans="1:132" x14ac:dyDescent="0.3">
      <c r="A19" s="3" t="s">
        <v>84</v>
      </c>
      <c r="B19" s="3" t="s">
        <v>67</v>
      </c>
      <c r="C19" s="4">
        <v>19001780</v>
      </c>
      <c r="D19" s="3">
        <v>982</v>
      </c>
      <c r="E19" s="5">
        <v>5.1679368985431893</v>
      </c>
      <c r="F19" s="4">
        <v>19082838</v>
      </c>
      <c r="G19" s="3">
        <v>1029</v>
      </c>
      <c r="H19" s="5">
        <v>5.3922797017927833</v>
      </c>
      <c r="I19" s="4">
        <v>19137800</v>
      </c>
      <c r="J19" s="3">
        <v>919</v>
      </c>
      <c r="K19" s="5">
        <v>4.8020148606422897</v>
      </c>
      <c r="L19" s="4">
        <v>19175939</v>
      </c>
      <c r="M19" s="3">
        <v>946</v>
      </c>
      <c r="N19" s="5">
        <v>4.9332655887151082</v>
      </c>
      <c r="O19" s="4">
        <v>19171567</v>
      </c>
      <c r="P19" s="3">
        <v>848</v>
      </c>
      <c r="Q19" s="5">
        <v>4.4232169441339879</v>
      </c>
      <c r="R19" s="4">
        <v>19132610</v>
      </c>
      <c r="S19" s="3">
        <v>879</v>
      </c>
      <c r="T19" s="5">
        <v>4.5942503401260986</v>
      </c>
      <c r="U19" s="4">
        <v>19104631</v>
      </c>
      <c r="V19" s="3">
        <v>932</v>
      </c>
      <c r="W19" s="5">
        <v>4.8783983317971442</v>
      </c>
      <c r="X19" s="4">
        <v>19132335</v>
      </c>
      <c r="Y19" s="3">
        <v>826</v>
      </c>
      <c r="Z19" s="5">
        <v>4.3172984374358911</v>
      </c>
      <c r="AA19" s="4">
        <v>19212436</v>
      </c>
      <c r="AB19" s="3">
        <v>858</v>
      </c>
      <c r="AC19" s="5">
        <v>4.4658574269290989</v>
      </c>
      <c r="AD19" s="4">
        <v>19307066</v>
      </c>
      <c r="AE19" s="3">
        <v>824</v>
      </c>
      <c r="AF19" s="5">
        <v>4.2678675258063548</v>
      </c>
      <c r="AG19" s="6">
        <v>19399956</v>
      </c>
      <c r="AH19" s="3">
        <v>879</v>
      </c>
      <c r="AI19" s="5">
        <v>4.5309381114060256</v>
      </c>
      <c r="AJ19" s="6">
        <v>19499921</v>
      </c>
      <c r="AK19" s="3">
        <v>808</v>
      </c>
      <c r="AL19" s="5">
        <v>4.1436065305085084</v>
      </c>
      <c r="AM19" s="6">
        <v>19574362</v>
      </c>
      <c r="AN19" s="3">
        <v>714</v>
      </c>
      <c r="AO19" s="5">
        <v>3.6476284642125245</v>
      </c>
      <c r="AP19" s="6">
        <v>19626488</v>
      </c>
      <c r="AQ19" s="3">
        <v>671</v>
      </c>
      <c r="AR19" s="5">
        <v>3.4188490574574524</v>
      </c>
      <c r="AS19" s="6">
        <v>19653431</v>
      </c>
      <c r="AT19" s="3">
        <v>662</v>
      </c>
      <c r="AU19" s="5">
        <v>3.3683686069877568</v>
      </c>
      <c r="AV19" s="6">
        <v>19657321</v>
      </c>
      <c r="AW19" s="3">
        <v>671</v>
      </c>
      <c r="AX19" s="5">
        <v>3.4134865071389946</v>
      </c>
      <c r="AY19" s="6">
        <v>19636391</v>
      </c>
      <c r="AZ19" s="3">
        <v>696</v>
      </c>
      <c r="BA19" s="5">
        <v>3.5444395052023561</v>
      </c>
      <c r="BB19" s="6">
        <v>19593849</v>
      </c>
      <c r="BC19" s="3">
        <v>577</v>
      </c>
      <c r="BD19" s="5">
        <v>2.9448017079237467</v>
      </c>
      <c r="BE19" s="6">
        <v>19544098</v>
      </c>
      <c r="BF19" s="3">
        <v>611</v>
      </c>
      <c r="BG19" s="5">
        <v>3.1262634888547938</v>
      </c>
      <c r="BH19" s="6">
        <v>19463131</v>
      </c>
      <c r="BI19" s="3">
        <v>601</v>
      </c>
      <c r="BJ19" s="5">
        <v>3.0878896103612514</v>
      </c>
      <c r="BK19" s="6">
        <v>20201249</v>
      </c>
      <c r="BL19" s="3">
        <v>854</v>
      </c>
      <c r="BM19" s="5">
        <f t="shared" si="0"/>
        <v>4.2274613812244981</v>
      </c>
      <c r="BR19" s="4"/>
      <c r="BT19" s="5"/>
      <c r="BU19" s="4"/>
      <c r="BW19" s="5"/>
      <c r="BX19" s="4"/>
      <c r="BZ19" s="5"/>
      <c r="CA19" s="4"/>
      <c r="CC19" s="5"/>
      <c r="CD19" s="4"/>
      <c r="CF19" s="5"/>
      <c r="CG19" s="4"/>
      <c r="CI19" s="5"/>
      <c r="CJ19" s="4"/>
      <c r="CL19" s="5"/>
      <c r="CM19" s="4"/>
      <c r="CO19" s="5"/>
      <c r="CP19" s="4"/>
      <c r="CR19" s="5"/>
      <c r="CS19" s="4"/>
      <c r="CU19" s="5"/>
      <c r="CV19" s="6"/>
      <c r="CX19" s="5"/>
      <c r="CY19" s="6"/>
      <c r="DA19" s="5"/>
      <c r="DB19" s="6"/>
      <c r="DD19" s="5"/>
      <c r="DE19" s="6"/>
      <c r="DG19" s="5"/>
      <c r="DH19" s="6"/>
      <c r="DJ19" s="5"/>
      <c r="DK19" s="6"/>
      <c r="DM19" s="5"/>
      <c r="DN19" s="6"/>
      <c r="DP19" s="5"/>
      <c r="DQ19" s="6"/>
      <c r="DR19" s="3">
        <v>318</v>
      </c>
      <c r="DS19" s="5">
        <v>8.0841935711848834</v>
      </c>
      <c r="DT19" s="6">
        <v>3943488</v>
      </c>
      <c r="DU19" s="3">
        <v>265</v>
      </c>
      <c r="DV19" s="5">
        <v>6.7199393024652281</v>
      </c>
      <c r="DW19" s="6">
        <v>3960676</v>
      </c>
      <c r="DX19" s="3">
        <v>333</v>
      </c>
      <c r="DY19" s="5">
        <v>8.4076556628211954</v>
      </c>
      <c r="DZ19" s="6">
        <v>3957000</v>
      </c>
      <c r="EA19" s="3">
        <v>287</v>
      </c>
      <c r="EB19" s="5">
        <v>7.2529694212787472</v>
      </c>
    </row>
    <row r="20" spans="1:132" x14ac:dyDescent="0.3">
      <c r="A20" s="3" t="s">
        <v>85</v>
      </c>
      <c r="B20" s="3" t="s">
        <v>67</v>
      </c>
      <c r="C20" s="4">
        <v>3429708</v>
      </c>
      <c r="D20" s="3">
        <v>86</v>
      </c>
      <c r="E20" s="5">
        <v>2.5075020963883805</v>
      </c>
      <c r="F20" s="4">
        <v>3467937</v>
      </c>
      <c r="G20" s="3">
        <v>100</v>
      </c>
      <c r="H20" s="5">
        <v>2.8835587267012057</v>
      </c>
      <c r="I20" s="4">
        <v>3513424</v>
      </c>
      <c r="J20" s="3">
        <v>104</v>
      </c>
      <c r="K20" s="5">
        <v>2.9600754136136147</v>
      </c>
      <c r="L20" s="4">
        <v>3547376</v>
      </c>
      <c r="M20" s="3">
        <v>91</v>
      </c>
      <c r="N20" s="5">
        <v>2.5652764184005306</v>
      </c>
      <c r="O20" s="4">
        <v>3569463</v>
      </c>
      <c r="P20" s="3">
        <v>110</v>
      </c>
      <c r="Q20" s="5">
        <v>3.081696042233804</v>
      </c>
      <c r="R20" s="4">
        <v>3613202</v>
      </c>
      <c r="S20" s="3">
        <v>100</v>
      </c>
      <c r="T20" s="5">
        <v>2.7676282698836103</v>
      </c>
      <c r="U20" s="4">
        <v>3670883</v>
      </c>
      <c r="V20" s="3">
        <v>112</v>
      </c>
      <c r="W20" s="5">
        <v>3.0510370393172432</v>
      </c>
      <c r="X20" s="4">
        <v>3722417</v>
      </c>
      <c r="Y20" s="3">
        <v>78</v>
      </c>
      <c r="Z20" s="5">
        <v>2.0954127385513228</v>
      </c>
      <c r="AA20" s="4">
        <v>3768748</v>
      </c>
      <c r="AB20" s="3">
        <v>102</v>
      </c>
      <c r="AC20" s="5">
        <v>2.7064690979603836</v>
      </c>
      <c r="AD20" s="4">
        <v>3808600</v>
      </c>
      <c r="AE20" s="3">
        <v>102</v>
      </c>
      <c r="AF20" s="5">
        <v>2.6781494512419259</v>
      </c>
      <c r="AG20" s="6">
        <v>3837614</v>
      </c>
      <c r="AH20" s="3">
        <v>115</v>
      </c>
      <c r="AI20" s="5">
        <v>2.996653649898088</v>
      </c>
      <c r="AJ20" s="6">
        <v>3872672</v>
      </c>
      <c r="AK20" s="3">
        <v>107</v>
      </c>
      <c r="AL20" s="5">
        <v>2.762950231777956</v>
      </c>
      <c r="AM20" s="6">
        <v>3900102</v>
      </c>
      <c r="AN20" s="3">
        <v>109</v>
      </c>
      <c r="AO20" s="5">
        <v>2.7947987001365604</v>
      </c>
      <c r="AP20" s="6">
        <v>3924110</v>
      </c>
      <c r="AQ20" s="3">
        <v>89</v>
      </c>
      <c r="AR20" s="5">
        <v>2.2680302030269286</v>
      </c>
      <c r="AS20" s="6">
        <v>3965447</v>
      </c>
      <c r="AT20" s="3">
        <v>99</v>
      </c>
      <c r="AU20" s="5">
        <v>2.4965659609118469</v>
      </c>
      <c r="AV20" s="6">
        <v>4018542</v>
      </c>
      <c r="AW20" s="3">
        <v>138</v>
      </c>
      <c r="AX20" s="5">
        <v>3.434081316059407</v>
      </c>
      <c r="AY20" s="6">
        <v>4093271</v>
      </c>
      <c r="AZ20" s="3">
        <v>129</v>
      </c>
      <c r="BA20" s="5">
        <v>3.1515137893386487</v>
      </c>
      <c r="BB20" s="6">
        <v>4147294</v>
      </c>
      <c r="BC20" s="3">
        <v>127</v>
      </c>
      <c r="BD20" s="5">
        <v>3.062237690407287</v>
      </c>
      <c r="BE20" s="6">
        <v>4183538</v>
      </c>
      <c r="BF20" s="3">
        <v>102</v>
      </c>
      <c r="BG20" s="5">
        <v>2.4381277282529763</v>
      </c>
      <c r="BH20" s="6">
        <v>4216116</v>
      </c>
      <c r="BI20" s="3">
        <v>126</v>
      </c>
      <c r="BJ20" s="5">
        <v>2.9885325735819412</v>
      </c>
      <c r="BK20" s="6">
        <v>4218000</v>
      </c>
      <c r="BL20" s="3">
        <v>154</v>
      </c>
      <c r="BM20" s="5">
        <f t="shared" si="0"/>
        <v>3.6510194404931249</v>
      </c>
      <c r="BR20" s="4"/>
      <c r="BT20" s="5"/>
      <c r="BU20" s="4"/>
      <c r="BW20" s="5"/>
      <c r="BX20" s="4"/>
      <c r="BZ20" s="5"/>
      <c r="CA20" s="4"/>
      <c r="CC20" s="5"/>
      <c r="CD20" s="4"/>
      <c r="CF20" s="5"/>
      <c r="CG20" s="4"/>
      <c r="CI20" s="5"/>
      <c r="CJ20" s="4"/>
      <c r="CL20" s="5"/>
      <c r="CM20" s="4"/>
      <c r="CO20" s="5"/>
      <c r="CP20" s="4"/>
      <c r="CR20" s="5"/>
      <c r="CS20" s="4"/>
      <c r="CU20" s="5"/>
      <c r="CV20" s="6"/>
      <c r="CX20" s="5"/>
      <c r="CY20" s="6"/>
      <c r="DA20" s="5"/>
      <c r="DB20" s="6"/>
      <c r="DD20" s="5"/>
      <c r="DE20" s="6"/>
      <c r="DG20" s="5"/>
      <c r="DH20" s="6"/>
      <c r="DJ20" s="5"/>
      <c r="DK20" s="6"/>
      <c r="DM20" s="5"/>
      <c r="DN20" s="6"/>
      <c r="DP20" s="5"/>
      <c r="DQ20" s="6"/>
      <c r="DR20" s="3">
        <v>444</v>
      </c>
      <c r="DS20" s="5">
        <v>8.8321263423737957</v>
      </c>
      <c r="DT20" s="6">
        <v>5091702</v>
      </c>
      <c r="DU20" s="3">
        <v>481</v>
      </c>
      <c r="DV20" s="5">
        <v>9.4467429554989675</v>
      </c>
      <c r="DW20" s="6">
        <v>5157702</v>
      </c>
      <c r="DX20" s="3">
        <v>527</v>
      </c>
      <c r="DY20" s="5">
        <v>10.21772874819057</v>
      </c>
      <c r="DZ20" s="6">
        <v>5149000</v>
      </c>
      <c r="EA20" s="3">
        <v>552</v>
      </c>
      <c r="EB20" s="5">
        <v>10.720528257914157</v>
      </c>
    </row>
    <row r="21" spans="1:132" x14ac:dyDescent="0.3">
      <c r="A21" s="3" t="s">
        <v>86</v>
      </c>
      <c r="B21" s="3" t="s">
        <v>67</v>
      </c>
      <c r="C21" s="4">
        <v>12284173</v>
      </c>
      <c r="D21" s="3">
        <v>645</v>
      </c>
      <c r="E21" s="5">
        <v>5.2506587134518536</v>
      </c>
      <c r="F21" s="4">
        <v>12298970</v>
      </c>
      <c r="G21" s="3">
        <v>635</v>
      </c>
      <c r="H21" s="5">
        <v>5.16303397764203</v>
      </c>
      <c r="I21" s="4">
        <v>12331031</v>
      </c>
      <c r="J21" s="3">
        <v>634</v>
      </c>
      <c r="K21" s="5">
        <v>5.1415003335892999</v>
      </c>
      <c r="L21" s="4">
        <v>12374658</v>
      </c>
      <c r="M21" s="3">
        <v>667</v>
      </c>
      <c r="N21" s="5">
        <v>5.3900479512241875</v>
      </c>
      <c r="O21" s="4">
        <v>12410722</v>
      </c>
      <c r="P21" s="3">
        <v>677</v>
      </c>
      <c r="Q21" s="5">
        <v>5.4549606380676314</v>
      </c>
      <c r="R21" s="4">
        <v>12449990</v>
      </c>
      <c r="S21" s="3">
        <v>741</v>
      </c>
      <c r="T21" s="5">
        <v>5.9518120094875577</v>
      </c>
      <c r="U21" s="4">
        <v>12510809</v>
      </c>
      <c r="V21" s="3">
        <v>761</v>
      </c>
      <c r="W21" s="5">
        <v>6.0827401329522335</v>
      </c>
      <c r="X21" s="4">
        <v>12563937</v>
      </c>
      <c r="Y21" s="3">
        <v>740</v>
      </c>
      <c r="Z21" s="5">
        <v>5.8898735324763249</v>
      </c>
      <c r="AA21" s="4">
        <v>12612285</v>
      </c>
      <c r="AB21" s="3">
        <v>683</v>
      </c>
      <c r="AC21" s="5">
        <v>5.4153549495591005</v>
      </c>
      <c r="AD21" s="4">
        <v>12666858</v>
      </c>
      <c r="AE21" s="3">
        <v>644</v>
      </c>
      <c r="AF21" s="5">
        <v>5.0841337291378812</v>
      </c>
      <c r="AG21" s="6">
        <v>12711406</v>
      </c>
      <c r="AH21" s="3">
        <v>676</v>
      </c>
      <c r="AI21" s="5">
        <v>5.3180584429448636</v>
      </c>
      <c r="AJ21" s="6">
        <v>12747052</v>
      </c>
      <c r="AK21" s="3">
        <v>678</v>
      </c>
      <c r="AL21" s="5">
        <v>5.3188768665884476</v>
      </c>
      <c r="AM21" s="6">
        <v>12769123</v>
      </c>
      <c r="AN21" s="3">
        <v>690</v>
      </c>
      <c r="AO21" s="5">
        <v>5.4036600634201744</v>
      </c>
      <c r="AP21" s="6">
        <v>12779538</v>
      </c>
      <c r="AQ21" s="3">
        <v>624</v>
      </c>
      <c r="AR21" s="5">
        <v>4.8828056225506744</v>
      </c>
      <c r="AS21" s="6">
        <v>12792392</v>
      </c>
      <c r="AT21" s="3">
        <v>620</v>
      </c>
      <c r="AU21" s="5">
        <v>4.8466307161319007</v>
      </c>
      <c r="AV21" s="6">
        <v>12789838</v>
      </c>
      <c r="AW21" s="3">
        <v>673</v>
      </c>
      <c r="AX21" s="5">
        <v>5.2619900267696904</v>
      </c>
      <c r="AY21" s="6">
        <v>12788468</v>
      </c>
      <c r="AZ21" s="3">
        <v>723</v>
      </c>
      <c r="BA21" s="5">
        <v>5.6535309780655503</v>
      </c>
      <c r="BB21" s="6">
        <v>12794679</v>
      </c>
      <c r="BC21" s="3">
        <v>791</v>
      </c>
      <c r="BD21" s="5">
        <v>6.182257483755552</v>
      </c>
      <c r="BE21" s="6">
        <v>12809107</v>
      </c>
      <c r="BF21" s="3">
        <v>781</v>
      </c>
      <c r="BG21" s="5">
        <v>6.0972244200942347</v>
      </c>
      <c r="BH21" s="6">
        <v>12798883</v>
      </c>
      <c r="BI21" s="3">
        <v>722</v>
      </c>
      <c r="BJ21" s="5">
        <v>5.6411172756247563</v>
      </c>
      <c r="BK21" s="6">
        <v>12800000</v>
      </c>
      <c r="BL21" s="3">
        <v>982</v>
      </c>
      <c r="BM21" s="5">
        <f t="shared" si="0"/>
        <v>7.6718750000000009</v>
      </c>
      <c r="BR21" s="4"/>
      <c r="BT21" s="5"/>
      <c r="BU21" s="4"/>
      <c r="BW21" s="5"/>
      <c r="BX21" s="4"/>
      <c r="BZ21" s="5"/>
      <c r="CA21" s="4"/>
      <c r="CC21" s="5"/>
      <c r="CD21" s="4"/>
      <c r="CF21" s="5"/>
      <c r="CG21" s="4"/>
      <c r="CI21" s="5"/>
      <c r="CJ21" s="4"/>
      <c r="CL21" s="5"/>
      <c r="CM21" s="4"/>
      <c r="CO21" s="5"/>
      <c r="CP21" s="4"/>
      <c r="CR21" s="5"/>
      <c r="CS21" s="4"/>
      <c r="CU21" s="5"/>
      <c r="CV21" s="6"/>
      <c r="CX21" s="5"/>
      <c r="CY21" s="6"/>
      <c r="DA21" s="5"/>
      <c r="DB21" s="6"/>
      <c r="DD21" s="5"/>
      <c r="DE21" s="6"/>
      <c r="DG21" s="5"/>
      <c r="DH21" s="6"/>
      <c r="DJ21" s="5"/>
      <c r="DK21" s="6"/>
      <c r="DM21" s="5"/>
      <c r="DN21" s="6"/>
      <c r="DP21" s="5"/>
      <c r="DQ21" s="6"/>
      <c r="DR21" s="3">
        <v>34</v>
      </c>
      <c r="DS21" s="5">
        <v>3.8913534127169433</v>
      </c>
      <c r="DT21" s="6">
        <v>879386</v>
      </c>
      <c r="DU21" s="3">
        <v>32</v>
      </c>
      <c r="DV21" s="5">
        <v>3.6389025979490235</v>
      </c>
      <c r="DW21" s="6">
        <v>887127</v>
      </c>
      <c r="DX21" s="3">
        <v>29</v>
      </c>
      <c r="DY21" s="5">
        <v>3.2689795260430579</v>
      </c>
      <c r="DZ21" s="6">
        <v>886667</v>
      </c>
      <c r="EA21" s="3">
        <v>49</v>
      </c>
      <c r="EB21" s="5">
        <v>5.5263137119121382</v>
      </c>
    </row>
    <row r="22" spans="1:132" x14ac:dyDescent="0.3">
      <c r="A22" s="3" t="s">
        <v>87</v>
      </c>
      <c r="B22" s="3" t="s">
        <v>67</v>
      </c>
      <c r="C22" s="4">
        <v>1050268</v>
      </c>
      <c r="D22" s="3">
        <v>38</v>
      </c>
      <c r="E22" s="5">
        <v>3.6181241359348282</v>
      </c>
      <c r="F22" s="4">
        <v>1057142</v>
      </c>
      <c r="G22" s="3">
        <v>31</v>
      </c>
      <c r="H22" s="5">
        <v>2.9324348100822784</v>
      </c>
      <c r="I22" s="4">
        <v>1065995</v>
      </c>
      <c r="J22" s="3">
        <v>42</v>
      </c>
      <c r="K22" s="5">
        <v>3.939980956758709</v>
      </c>
      <c r="L22" s="4">
        <v>1071342</v>
      </c>
      <c r="M22" s="3">
        <v>28</v>
      </c>
      <c r="N22" s="5">
        <v>2.613544507729558</v>
      </c>
      <c r="O22" s="4">
        <v>1074579</v>
      </c>
      <c r="P22" s="3">
        <v>29</v>
      </c>
      <c r="Q22" s="5">
        <v>2.6987313171018603</v>
      </c>
      <c r="R22" s="4">
        <v>1067916</v>
      </c>
      <c r="S22" s="3">
        <v>32</v>
      </c>
      <c r="T22" s="5">
        <v>2.9964903606650708</v>
      </c>
      <c r="U22" s="4">
        <v>1063096</v>
      </c>
      <c r="V22" s="3">
        <v>39</v>
      </c>
      <c r="W22" s="5">
        <v>3.6685304055325201</v>
      </c>
      <c r="X22" s="4">
        <v>1057315</v>
      </c>
      <c r="Y22" s="3">
        <v>23</v>
      </c>
      <c r="Z22" s="5">
        <v>2.1753214510339869</v>
      </c>
      <c r="AA22" s="4">
        <v>1055003</v>
      </c>
      <c r="AB22" s="3">
        <v>29</v>
      </c>
      <c r="AC22" s="5">
        <v>2.7488073493629877</v>
      </c>
      <c r="AD22" s="4">
        <v>1053646</v>
      </c>
      <c r="AE22" s="3">
        <v>30</v>
      </c>
      <c r="AF22" s="5">
        <v>2.8472560992971072</v>
      </c>
      <c r="AG22" s="6">
        <v>1053994</v>
      </c>
      <c r="AH22" s="3">
        <v>27</v>
      </c>
      <c r="AI22" s="5">
        <v>2.561684411865722</v>
      </c>
      <c r="AJ22" s="6">
        <v>1053829</v>
      </c>
      <c r="AK22" s="3">
        <v>19</v>
      </c>
      <c r="AL22" s="5">
        <v>1.8029490553021412</v>
      </c>
      <c r="AM22" s="6">
        <v>1054893</v>
      </c>
      <c r="AN22" s="3">
        <v>30</v>
      </c>
      <c r="AO22" s="5">
        <v>2.8438903282133827</v>
      </c>
      <c r="AP22" s="6">
        <v>1055560</v>
      </c>
      <c r="AQ22" s="3">
        <v>31</v>
      </c>
      <c r="AR22" s="5">
        <v>2.9368297396642542</v>
      </c>
      <c r="AS22" s="6">
        <v>1056511</v>
      </c>
      <c r="AT22" s="3">
        <v>27</v>
      </c>
      <c r="AU22" s="5">
        <v>2.5555815320427331</v>
      </c>
      <c r="AV22" s="6">
        <v>1056886</v>
      </c>
      <c r="AW22" s="3">
        <v>28</v>
      </c>
      <c r="AX22" s="5">
        <v>2.6492923550884391</v>
      </c>
      <c r="AY22" s="6">
        <v>1057816</v>
      </c>
      <c r="AZ22" s="3">
        <v>25</v>
      </c>
      <c r="BA22" s="5">
        <v>2.3633599794293145</v>
      </c>
      <c r="BB22" s="6">
        <v>1056554</v>
      </c>
      <c r="BC22" s="3">
        <v>19</v>
      </c>
      <c r="BD22" s="5">
        <v>1.7982989984421052</v>
      </c>
      <c r="BE22" s="6">
        <v>1059338</v>
      </c>
      <c r="BF22" s="3">
        <v>16</v>
      </c>
      <c r="BG22" s="5">
        <v>1.510377235594305</v>
      </c>
      <c r="BH22" s="6">
        <v>1058158</v>
      </c>
      <c r="BI22" s="3">
        <v>23</v>
      </c>
      <c r="BJ22" s="5">
        <v>2.1735884433137587</v>
      </c>
      <c r="BK22" s="6">
        <v>1057125</v>
      </c>
      <c r="BL22" s="3">
        <v>29</v>
      </c>
      <c r="BM22" s="5">
        <f t="shared" si="0"/>
        <v>2.7432895825943007</v>
      </c>
      <c r="BR22" s="4"/>
      <c r="BT22" s="5"/>
      <c r="BU22" s="4"/>
      <c r="BW22" s="5"/>
      <c r="BX22" s="4"/>
      <c r="BZ22" s="5"/>
      <c r="CA22" s="4"/>
      <c r="CC22" s="5"/>
      <c r="CD22" s="4"/>
      <c r="CF22" s="5"/>
      <c r="CG22" s="4"/>
      <c r="CI22" s="5"/>
      <c r="CJ22" s="4"/>
      <c r="CL22" s="5"/>
      <c r="CM22" s="4"/>
      <c r="CO22" s="5"/>
      <c r="CP22" s="4"/>
      <c r="CR22" s="5"/>
      <c r="CS22" s="4"/>
      <c r="CU22" s="5"/>
      <c r="CV22" s="6"/>
      <c r="CX22" s="5"/>
      <c r="CY22" s="6"/>
      <c r="DA22" s="5"/>
      <c r="DB22" s="6"/>
      <c r="DD22" s="5"/>
      <c r="DE22" s="6"/>
      <c r="DG22" s="5"/>
      <c r="DH22" s="6"/>
      <c r="DJ22" s="5"/>
      <c r="DK22" s="6"/>
      <c r="DM22" s="5"/>
      <c r="DN22" s="6"/>
      <c r="DP22" s="5"/>
      <c r="DQ22" s="6"/>
      <c r="DR22" s="3">
        <v>557</v>
      </c>
      <c r="DS22" s="5">
        <v>8.29517354932754</v>
      </c>
      <c r="DT22" s="6">
        <v>6778180</v>
      </c>
      <c r="DU22" s="3">
        <v>604</v>
      </c>
      <c r="DV22" s="5">
        <v>8.9109465962839582</v>
      </c>
      <c r="DW22" s="6">
        <v>6830325</v>
      </c>
      <c r="DX22" s="3">
        <v>596</v>
      </c>
      <c r="DY22" s="5">
        <v>8.7257926965407933</v>
      </c>
      <c r="DZ22" s="6">
        <v>6886834</v>
      </c>
      <c r="EA22" s="3">
        <v>682</v>
      </c>
      <c r="EB22" s="5">
        <v>9.9029539553298367</v>
      </c>
    </row>
    <row r="23" spans="1:132" x14ac:dyDescent="0.3">
      <c r="A23" s="3" t="s">
        <v>88</v>
      </c>
      <c r="B23" s="3" t="s">
        <v>67</v>
      </c>
      <c r="C23" s="4">
        <v>609618</v>
      </c>
      <c r="D23" s="3">
        <v>11</v>
      </c>
      <c r="E23" s="5">
        <v>1.8044086624738769</v>
      </c>
      <c r="F23" s="4">
        <v>612223</v>
      </c>
      <c r="G23" s="3">
        <v>14</v>
      </c>
      <c r="H23" s="5">
        <v>2.2867484560364444</v>
      </c>
      <c r="I23" s="4">
        <v>615442</v>
      </c>
      <c r="J23" s="3">
        <v>13</v>
      </c>
      <c r="K23" s="5">
        <f>(J23/I23)*100000</f>
        <v>2.1123030277426631</v>
      </c>
      <c r="L23" s="4">
        <v>617858</v>
      </c>
      <c r="M23" s="3">
        <v>11</v>
      </c>
      <c r="N23" s="5">
        <v>1.7803443509673744</v>
      </c>
      <c r="O23" s="4">
        <v>619920</v>
      </c>
      <c r="P23" s="3">
        <v>10</v>
      </c>
      <c r="Q23" s="5">
        <v>1.6131113692089301</v>
      </c>
      <c r="R23" s="4">
        <v>621215</v>
      </c>
      <c r="S23" s="3">
        <v>11</v>
      </c>
      <c r="T23" s="5">
        <v>1.7707235015252367</v>
      </c>
      <c r="U23" s="4">
        <v>622892</v>
      </c>
      <c r="V23" s="3">
        <v>13</v>
      </c>
      <c r="W23" s="5">
        <v>2.0870391656980662</v>
      </c>
      <c r="X23" s="4">
        <v>623481</v>
      </c>
      <c r="Y23" s="3">
        <v>13</v>
      </c>
      <c r="Z23" s="5">
        <v>2.0850675481690701</v>
      </c>
      <c r="AA23" s="4">
        <v>624151</v>
      </c>
      <c r="AB23" s="3">
        <v>16</v>
      </c>
      <c r="AC23" s="5">
        <v>2.5634822342670285</v>
      </c>
      <c r="AD23" s="4">
        <v>624817</v>
      </c>
      <c r="AE23" s="3">
        <v>7</v>
      </c>
      <c r="AF23" s="5">
        <f>(AE23/AD23)*100000</f>
        <v>1.1203280320477838</v>
      </c>
      <c r="AG23" s="6">
        <v>625886</v>
      </c>
      <c r="AH23" s="3">
        <v>7</v>
      </c>
      <c r="AI23" s="5">
        <f>(AH23/AG23)*100000</f>
        <v>1.118414535554398</v>
      </c>
      <c r="AJ23" s="6">
        <v>627197</v>
      </c>
      <c r="AK23" s="3">
        <v>8</v>
      </c>
      <c r="AL23" s="5">
        <f>(AK23/AJ23)*100000</f>
        <v>1.2755163050843674</v>
      </c>
      <c r="AM23" s="6">
        <v>626361</v>
      </c>
      <c r="AN23" s="3">
        <v>8</v>
      </c>
      <c r="AO23" s="5">
        <f>(AN23/AM23)*100000</f>
        <v>1.2772187284968255</v>
      </c>
      <c r="AP23" s="6">
        <v>626603</v>
      </c>
      <c r="AQ23" s="3">
        <v>10</v>
      </c>
      <c r="AR23" s="5">
        <f>(AQ23/AP23)*100000</f>
        <v>1.5959068181926994</v>
      </c>
      <c r="AS23" s="6">
        <v>625693</v>
      </c>
      <c r="AT23" s="3">
        <v>16</v>
      </c>
      <c r="AU23" s="5">
        <v>2.5571646158739187</v>
      </c>
      <c r="AV23" s="6">
        <v>625810</v>
      </c>
      <c r="AW23" s="3">
        <v>16</v>
      </c>
      <c r="AX23" s="5">
        <v>2.5566865342516101</v>
      </c>
      <c r="AY23" s="6">
        <v>624366</v>
      </c>
      <c r="AZ23" s="3">
        <v>11</v>
      </c>
      <c r="BA23" s="5">
        <v>1.7617871568919512</v>
      </c>
      <c r="BB23" s="6">
        <v>625132</v>
      </c>
      <c r="BC23" s="3">
        <v>15</v>
      </c>
      <c r="BD23" s="5">
        <v>2.399493227030451</v>
      </c>
      <c r="BE23" s="6">
        <v>624802</v>
      </c>
      <c r="BF23" s="3">
        <v>14</v>
      </c>
      <c r="BG23" s="5">
        <v>2.2407098568826602</v>
      </c>
      <c r="BH23" s="6">
        <v>624046</v>
      </c>
      <c r="BI23" s="3">
        <v>11</v>
      </c>
      <c r="BJ23" s="5">
        <v>1.7626905708874026</v>
      </c>
      <c r="BK23" s="6">
        <v>623989</v>
      </c>
      <c r="BL23" s="3">
        <v>14</v>
      </c>
      <c r="BM23" s="5">
        <f t="shared" si="0"/>
        <v>2.243629294747183</v>
      </c>
      <c r="BR23" s="4"/>
      <c r="BT23" s="5"/>
      <c r="BU23" s="4"/>
      <c r="BW23" s="5"/>
      <c r="BX23" s="4"/>
      <c r="BZ23" s="5"/>
      <c r="CA23" s="4"/>
      <c r="CC23" s="5"/>
      <c r="CD23" s="4"/>
      <c r="CF23" s="5"/>
      <c r="CG23" s="4"/>
      <c r="CI23" s="5"/>
      <c r="CJ23" s="4"/>
      <c r="CL23" s="5"/>
      <c r="CM23" s="4"/>
      <c r="CO23" s="5"/>
      <c r="CP23" s="4"/>
      <c r="CR23" s="5"/>
      <c r="CS23" s="4"/>
      <c r="CU23" s="5"/>
      <c r="CV23" s="6"/>
      <c r="CX23" s="5"/>
      <c r="CY23" s="6"/>
      <c r="DA23" s="5"/>
      <c r="DB23" s="6"/>
      <c r="DD23" s="5"/>
      <c r="DE23" s="6"/>
      <c r="DG23" s="5"/>
      <c r="DH23" s="6"/>
      <c r="DI23" s="4"/>
      <c r="DJ23" s="5"/>
      <c r="DK23" s="6"/>
      <c r="DL23" s="4"/>
      <c r="DM23" s="5"/>
      <c r="DN23" s="6"/>
      <c r="DO23" s="4"/>
      <c r="DP23" s="5"/>
      <c r="DQ23" s="6"/>
      <c r="DR23" s="4">
        <v>1653</v>
      </c>
      <c r="DS23" s="5">
        <v>5.8428425920532252</v>
      </c>
      <c r="DT23" s="6">
        <v>28624564</v>
      </c>
      <c r="DU23" s="3">
        <v>1557</v>
      </c>
      <c r="DV23" s="5">
        <v>5.4393841597028336</v>
      </c>
      <c r="DW23" s="6">
        <v>28986794</v>
      </c>
      <c r="DX23" s="3">
        <v>1694</v>
      </c>
      <c r="DY23" s="5">
        <v>5.844040565507175</v>
      </c>
      <c r="DZ23" s="6">
        <v>29000000</v>
      </c>
      <c r="EA23" s="3">
        <v>1927</v>
      </c>
      <c r="EB23" s="5">
        <v>6.6448275862068975</v>
      </c>
    </row>
    <row r="24" spans="1:132" x14ac:dyDescent="0.3">
      <c r="A24" s="3" t="s">
        <v>89</v>
      </c>
      <c r="B24" s="3" t="s">
        <v>67</v>
      </c>
      <c r="C24" s="4">
        <v>7105817</v>
      </c>
      <c r="D24" s="3">
        <v>432</v>
      </c>
      <c r="E24" s="5">
        <v>6.0795261121979358</v>
      </c>
      <c r="F24" s="4">
        <v>7198362</v>
      </c>
      <c r="G24" s="3">
        <v>403</v>
      </c>
      <c r="H24" s="5">
        <v>5.59849588003493</v>
      </c>
      <c r="I24" s="4">
        <v>7286873</v>
      </c>
      <c r="J24" s="3">
        <v>390</v>
      </c>
      <c r="K24" s="5">
        <v>5.3520899842772058</v>
      </c>
      <c r="L24" s="4">
        <v>7366977</v>
      </c>
      <c r="M24" s="3">
        <v>458</v>
      </c>
      <c r="N24" s="5">
        <v>6.2169326712978741</v>
      </c>
      <c r="O24" s="4">
        <v>7475575</v>
      </c>
      <c r="P24" s="3">
        <v>404</v>
      </c>
      <c r="Q24" s="5">
        <v>5.4042665614350733</v>
      </c>
      <c r="R24" s="4">
        <v>7577105</v>
      </c>
      <c r="S24" s="3">
        <v>487</v>
      </c>
      <c r="T24" s="5">
        <v>6.4272568480969978</v>
      </c>
      <c r="U24" s="4">
        <v>7673725</v>
      </c>
      <c r="V24" s="3">
        <v>407</v>
      </c>
      <c r="W24" s="5">
        <v>5.303812685494985</v>
      </c>
      <c r="X24" s="4">
        <v>7751000</v>
      </c>
      <c r="Y24" s="3">
        <v>417</v>
      </c>
      <c r="Z24" s="5">
        <v>5.3799509740678619</v>
      </c>
      <c r="AA24" s="4">
        <v>7833496</v>
      </c>
      <c r="AB24" s="3">
        <v>373</v>
      </c>
      <c r="AC24" s="5">
        <v>4.7616032484091395</v>
      </c>
      <c r="AD24" s="4">
        <v>7925937</v>
      </c>
      <c r="AE24" s="3">
        <v>382</v>
      </c>
      <c r="AF24" s="5">
        <v>4.8196194342700425</v>
      </c>
      <c r="AG24" s="6">
        <v>8024004</v>
      </c>
      <c r="AH24" s="3">
        <v>369</v>
      </c>
      <c r="AI24" s="5">
        <v>4.5987015958616171</v>
      </c>
      <c r="AJ24" s="6">
        <v>8102437</v>
      </c>
      <c r="AK24" s="3">
        <v>334</v>
      </c>
      <c r="AL24" s="5">
        <v>4.1222165627452583</v>
      </c>
      <c r="AM24" s="6">
        <v>8187456</v>
      </c>
      <c r="AN24" s="3">
        <v>333</v>
      </c>
      <c r="AO24" s="5">
        <v>4.0671974298243558</v>
      </c>
      <c r="AP24" s="6">
        <v>8255861</v>
      </c>
      <c r="AQ24" s="3">
        <v>330</v>
      </c>
      <c r="AR24" s="5">
        <v>3.9971603204075263</v>
      </c>
      <c r="AS24" s="6">
        <v>8315430</v>
      </c>
      <c r="AT24" s="3">
        <v>339</v>
      </c>
      <c r="AU24" s="5">
        <v>4.0767585079785409</v>
      </c>
      <c r="AV24" s="6">
        <v>8367303</v>
      </c>
      <c r="AW24" s="3">
        <v>374</v>
      </c>
      <c r="AX24" s="5">
        <v>4.4697795693546647</v>
      </c>
      <c r="AY24" s="6">
        <v>8417651</v>
      </c>
      <c r="AZ24" s="3">
        <v>455</v>
      </c>
      <c r="BA24" s="5">
        <v>5.4053084405613872</v>
      </c>
      <c r="BB24" s="6">
        <v>8471011</v>
      </c>
      <c r="BC24" s="3">
        <v>455</v>
      </c>
      <c r="BD24" s="5">
        <v>5.3712596996981823</v>
      </c>
      <c r="BE24" s="6">
        <v>8510920</v>
      </c>
      <c r="BF24" s="3">
        <v>425</v>
      </c>
      <c r="BG24" s="5">
        <v>4.9935847123460215</v>
      </c>
      <c r="BH24" s="6">
        <v>8556642</v>
      </c>
      <c r="BI24" s="3">
        <v>436</v>
      </c>
      <c r="BJ24" s="5">
        <v>5.0954568392600743</v>
      </c>
      <c r="BK24" s="6">
        <v>8631393</v>
      </c>
      <c r="BL24" s="3">
        <v>526</v>
      </c>
      <c r="BM24" s="5">
        <f t="shared" si="0"/>
        <v>6.0940337208605841</v>
      </c>
      <c r="BR24" s="4"/>
      <c r="BT24" s="5"/>
      <c r="BU24" s="4"/>
      <c r="BW24" s="5"/>
      <c r="BX24" s="4"/>
      <c r="BZ24" s="5"/>
      <c r="CA24" s="4"/>
      <c r="CC24" s="5"/>
      <c r="CD24" s="4"/>
      <c r="CF24" s="5"/>
      <c r="CG24" s="4"/>
      <c r="CI24" s="5"/>
      <c r="CJ24" s="4"/>
      <c r="CL24" s="5"/>
      <c r="CM24" s="4"/>
      <c r="CO24" s="5"/>
      <c r="CP24" s="4"/>
      <c r="CR24" s="5"/>
      <c r="CS24" s="4"/>
      <c r="CU24" s="5"/>
      <c r="CV24" s="6"/>
      <c r="CX24" s="5"/>
      <c r="CY24" s="6"/>
      <c r="DA24" s="5"/>
      <c r="DB24" s="6"/>
      <c r="DD24" s="5"/>
      <c r="DE24" s="6"/>
      <c r="DG24" s="5"/>
      <c r="DH24" s="6"/>
      <c r="DJ24" s="5"/>
      <c r="DK24" s="6"/>
      <c r="DM24" s="5"/>
      <c r="DN24" s="6"/>
      <c r="DP24" s="5"/>
      <c r="DQ24" s="6"/>
      <c r="DR24" s="3">
        <v>79</v>
      </c>
      <c r="DS24" s="5">
        <v>2.5454803224704694</v>
      </c>
      <c r="DT24" s="6">
        <v>3155153</v>
      </c>
      <c r="DU24" s="3">
        <v>67</v>
      </c>
      <c r="DV24" s="5">
        <v>2.1235103337302506</v>
      </c>
      <c r="DW24" s="6">
        <v>3203383</v>
      </c>
      <c r="DX24" s="3">
        <v>82</v>
      </c>
      <c r="DY24" s="5">
        <v>2.5597938179730613</v>
      </c>
      <c r="DZ24" s="6">
        <v>3206000</v>
      </c>
      <c r="EA24" s="3">
        <v>81</v>
      </c>
      <c r="EB24" s="5">
        <v>2.5265127885215222</v>
      </c>
    </row>
    <row r="25" spans="1:132" x14ac:dyDescent="0.3">
      <c r="A25" s="3" t="s">
        <v>90</v>
      </c>
      <c r="B25" s="3" t="s">
        <v>67</v>
      </c>
      <c r="C25" s="4">
        <v>5910512</v>
      </c>
      <c r="D25" s="3">
        <v>197</v>
      </c>
      <c r="E25" s="5">
        <v>3.3330445822629242</v>
      </c>
      <c r="F25" s="4">
        <v>5985722</v>
      </c>
      <c r="G25" s="3">
        <v>193</v>
      </c>
      <c r="H25" s="5">
        <v>3.2243395199442944</v>
      </c>
      <c r="I25" s="4">
        <v>6052349</v>
      </c>
      <c r="J25" s="3">
        <v>208</v>
      </c>
      <c r="K25" s="5">
        <v>3.4366821873622952</v>
      </c>
      <c r="L25" s="4">
        <v>6104115</v>
      </c>
      <c r="M25" s="3">
        <v>215</v>
      </c>
      <c r="N25" s="5">
        <v>3.5222141129385665</v>
      </c>
      <c r="O25" s="4">
        <v>6178645</v>
      </c>
      <c r="P25" s="3">
        <v>214</v>
      </c>
      <c r="Q25" s="5">
        <v>3.4635425728456641</v>
      </c>
      <c r="R25" s="4">
        <v>6257305</v>
      </c>
      <c r="S25" s="3">
        <v>226</v>
      </c>
      <c r="T25" s="5">
        <v>3.6117785532269879</v>
      </c>
      <c r="U25" s="4">
        <v>6370753</v>
      </c>
      <c r="V25" s="3">
        <v>214</v>
      </c>
      <c r="W25" s="5">
        <v>3.359100564721313</v>
      </c>
      <c r="X25" s="4">
        <v>6461587</v>
      </c>
      <c r="Y25" s="3">
        <v>199</v>
      </c>
      <c r="Z25" s="5">
        <v>3.0797387700575727</v>
      </c>
      <c r="AA25" s="4">
        <v>6562231</v>
      </c>
      <c r="AB25" s="3">
        <v>219</v>
      </c>
      <c r="AC25" s="5">
        <v>3.3372796538250484</v>
      </c>
      <c r="AD25" s="4">
        <v>6667426</v>
      </c>
      <c r="AE25" s="3">
        <v>190</v>
      </c>
      <c r="AF25" s="5">
        <v>2.8496754219694376</v>
      </c>
      <c r="AG25" s="6">
        <v>6743009</v>
      </c>
      <c r="AH25" s="3">
        <v>175</v>
      </c>
      <c r="AI25" s="5">
        <v>2.5952805342540697</v>
      </c>
      <c r="AJ25" s="6">
        <v>6827479</v>
      </c>
      <c r="AK25" s="3">
        <v>176</v>
      </c>
      <c r="AL25" s="5">
        <v>2.5778182547320907</v>
      </c>
      <c r="AM25" s="6">
        <v>6898599</v>
      </c>
      <c r="AN25" s="3">
        <v>225</v>
      </c>
      <c r="AO25" s="5">
        <v>3.2615317979781113</v>
      </c>
      <c r="AP25" s="6">
        <v>6966252</v>
      </c>
      <c r="AQ25" s="3">
        <v>201</v>
      </c>
      <c r="AR25" s="5">
        <v>2.8853392039219941</v>
      </c>
      <c r="AS25" s="6">
        <v>7057531</v>
      </c>
      <c r="AT25" s="3">
        <v>211</v>
      </c>
      <c r="AU25" s="5">
        <v>2.9897141082341685</v>
      </c>
      <c r="AV25" s="6">
        <v>7167287</v>
      </c>
      <c r="AW25" s="3">
        <v>239</v>
      </c>
      <c r="AX25" s="5">
        <v>3.3345950845836088</v>
      </c>
      <c r="AY25" s="6">
        <v>7299961</v>
      </c>
      <c r="AZ25" s="3">
        <v>216</v>
      </c>
      <c r="BA25" s="5">
        <v>2.9589199175173677</v>
      </c>
      <c r="BB25" s="6">
        <v>7427951</v>
      </c>
      <c r="BC25" s="3">
        <v>266</v>
      </c>
      <c r="BD25" s="5">
        <v>3.5810683188405523</v>
      </c>
      <c r="BE25" s="6">
        <v>7526793</v>
      </c>
      <c r="BF25" s="3">
        <v>275</v>
      </c>
      <c r="BG25" s="5">
        <v>3.6536144942474169</v>
      </c>
      <c r="BH25" s="6">
        <v>7614024</v>
      </c>
      <c r="BI25" s="3">
        <v>241</v>
      </c>
      <c r="BJ25" s="5">
        <v>3.1652119825206753</v>
      </c>
      <c r="BK25" s="6">
        <v>7656200</v>
      </c>
      <c r="BL25" s="3">
        <v>313</v>
      </c>
      <c r="BM25" s="5">
        <f t="shared" si="0"/>
        <v>4.0881899636895591</v>
      </c>
      <c r="BR25" s="4"/>
      <c r="BT25" s="5"/>
      <c r="BU25" s="4"/>
      <c r="BW25" s="5"/>
      <c r="BX25" s="4"/>
      <c r="BZ25" s="5"/>
      <c r="CA25" s="4"/>
      <c r="CC25" s="5"/>
      <c r="CD25" s="4"/>
      <c r="CF25" s="5"/>
      <c r="CG25" s="4"/>
      <c r="CI25" s="5"/>
      <c r="CJ25" s="4"/>
      <c r="CL25" s="5"/>
      <c r="CM25" s="4"/>
      <c r="CO25" s="5"/>
      <c r="CP25" s="4"/>
      <c r="CR25" s="5"/>
      <c r="CS25" s="4"/>
      <c r="CU25" s="5"/>
      <c r="CV25" s="6"/>
      <c r="CX25" s="5"/>
      <c r="CY25" s="6"/>
      <c r="DA25" s="5"/>
      <c r="DB25" s="6"/>
      <c r="DD25" s="5"/>
      <c r="DE25" s="6"/>
      <c r="DG25" s="5"/>
      <c r="DH25" s="6"/>
      <c r="DJ25" s="5"/>
      <c r="DK25" s="6"/>
      <c r="DM25" s="5"/>
      <c r="DN25" s="6"/>
      <c r="DP25" s="5"/>
      <c r="DQ25" s="6"/>
      <c r="DR25" s="3">
        <v>112</v>
      </c>
      <c r="DS25" s="5">
        <v>6.1583024639258186</v>
      </c>
      <c r="DT25" s="6">
        <v>1805953</v>
      </c>
      <c r="DU25" s="3">
        <v>97</v>
      </c>
      <c r="DV25" s="5">
        <v>5.3711253836617008</v>
      </c>
      <c r="DW25" s="6">
        <v>1795263</v>
      </c>
      <c r="DX25" s="3">
        <v>92</v>
      </c>
      <c r="DY25" s="5">
        <v>5.1245973431190857</v>
      </c>
      <c r="DZ25" s="6">
        <v>1792000</v>
      </c>
      <c r="EA25" s="3">
        <v>117</v>
      </c>
      <c r="EB25" s="5">
        <v>6.5290178571428568</v>
      </c>
    </row>
    <row r="26" spans="1:132" x14ac:dyDescent="0.3">
      <c r="A26" s="3" t="s">
        <v>91</v>
      </c>
      <c r="B26" s="3" t="s">
        <v>67</v>
      </c>
      <c r="C26" s="4">
        <v>5373999</v>
      </c>
      <c r="D26" s="3">
        <v>171</v>
      </c>
      <c r="E26" s="5">
        <v>3.1819879385909822</v>
      </c>
      <c r="F26" s="4">
        <v>5406835</v>
      </c>
      <c r="G26" s="3">
        <v>209</v>
      </c>
      <c r="H26" s="5">
        <v>3.8654776777911661</v>
      </c>
      <c r="I26" s="4">
        <v>5445162</v>
      </c>
      <c r="J26" s="3">
        <v>184</v>
      </c>
      <c r="K26" s="5">
        <v>3.3791464790211934</v>
      </c>
      <c r="L26" s="4">
        <v>5479203</v>
      </c>
      <c r="M26" s="3">
        <v>193</v>
      </c>
      <c r="N26" s="5">
        <v>3.522410102345177</v>
      </c>
      <c r="O26" s="4">
        <v>5514026</v>
      </c>
      <c r="P26" s="3">
        <v>151</v>
      </c>
      <c r="Q26" s="5">
        <v>2.7384709466368133</v>
      </c>
      <c r="R26" s="4">
        <v>5546166</v>
      </c>
      <c r="S26" s="3">
        <v>231</v>
      </c>
      <c r="T26" s="5">
        <v>4.1650394164184776</v>
      </c>
      <c r="U26" s="4">
        <v>5577655</v>
      </c>
      <c r="V26" s="3">
        <v>191</v>
      </c>
      <c r="W26" s="5">
        <v>3.4243781660930979</v>
      </c>
      <c r="X26" s="4">
        <v>5610775</v>
      </c>
      <c r="Y26" s="3">
        <v>198</v>
      </c>
      <c r="Z26" s="5">
        <v>3.5289242573441282</v>
      </c>
      <c r="AA26" s="4">
        <v>5640996</v>
      </c>
      <c r="AB26" s="3">
        <v>151</v>
      </c>
      <c r="AC26" s="5">
        <v>2.6768322473548998</v>
      </c>
      <c r="AD26" s="4">
        <v>5669264</v>
      </c>
      <c r="AE26" s="3">
        <v>159</v>
      </c>
      <c r="AF26" s="5">
        <v>2.804596857722625</v>
      </c>
      <c r="AG26" s="6">
        <v>5690538</v>
      </c>
      <c r="AH26" s="3">
        <v>158</v>
      </c>
      <c r="AI26" s="5">
        <v>2.7765388791007104</v>
      </c>
      <c r="AJ26" s="6">
        <v>5705840</v>
      </c>
      <c r="AK26" s="3">
        <v>146</v>
      </c>
      <c r="AL26" s="5">
        <v>2.5587818796180755</v>
      </c>
      <c r="AM26" s="6">
        <v>5720825</v>
      </c>
      <c r="AN26" s="3">
        <v>186</v>
      </c>
      <c r="AO26" s="5">
        <v>3.2512793172313437</v>
      </c>
      <c r="AP26" s="6">
        <v>5738012</v>
      </c>
      <c r="AQ26" s="3">
        <v>174</v>
      </c>
      <c r="AR26" s="5">
        <v>3.0324091340345753</v>
      </c>
      <c r="AS26" s="6">
        <v>5753199</v>
      </c>
      <c r="AT26" s="3">
        <v>166</v>
      </c>
      <c r="AU26" s="5">
        <v>2.8853512628365543</v>
      </c>
      <c r="AV26" s="6">
        <v>5762927</v>
      </c>
      <c r="AW26" s="3">
        <v>243</v>
      </c>
      <c r="AX26" s="5">
        <v>4.2166072900107885</v>
      </c>
      <c r="AY26" s="6">
        <v>5775170</v>
      </c>
      <c r="AZ26" s="3">
        <v>256</v>
      </c>
      <c r="BA26" s="5">
        <v>4.4327699444345363</v>
      </c>
      <c r="BB26" s="6">
        <v>5793147</v>
      </c>
      <c r="BC26" s="3">
        <v>202</v>
      </c>
      <c r="BD26" s="5">
        <v>3.4868785480499631</v>
      </c>
      <c r="BE26" s="6">
        <v>5809319</v>
      </c>
      <c r="BF26" s="3">
        <v>204</v>
      </c>
      <c r="BG26" s="5">
        <v>3.511599208099951</v>
      </c>
      <c r="BH26" s="6">
        <v>5824581</v>
      </c>
      <c r="BI26" s="3">
        <v>226</v>
      </c>
      <c r="BJ26" s="5">
        <v>3.8801074274698903</v>
      </c>
      <c r="BK26" s="6">
        <v>5893718</v>
      </c>
      <c r="BL26" s="3">
        <v>330</v>
      </c>
      <c r="BM26" s="5">
        <f t="shared" si="0"/>
        <v>5.5991820443394138</v>
      </c>
      <c r="BR26" s="4"/>
      <c r="BT26" s="5"/>
      <c r="BU26" s="4"/>
      <c r="BW26" s="5"/>
      <c r="BX26" s="4"/>
      <c r="BZ26" s="5"/>
      <c r="CA26" s="4"/>
      <c r="CC26" s="5"/>
      <c r="CD26" s="4"/>
      <c r="CF26" s="5"/>
      <c r="CG26" s="4"/>
      <c r="CI26" s="5"/>
      <c r="CJ26" s="4"/>
      <c r="CL26" s="5"/>
      <c r="CM26" s="4"/>
      <c r="CO26" s="5"/>
      <c r="CP26" s="4"/>
      <c r="CR26" s="5"/>
      <c r="CS26" s="4"/>
      <c r="CU26" s="5"/>
      <c r="CV26" s="6"/>
      <c r="CX26" s="5"/>
      <c r="CY26" s="6"/>
      <c r="DA26" s="5"/>
      <c r="DB26" s="6"/>
      <c r="DD26" s="5"/>
      <c r="DE26" s="6"/>
      <c r="DG26" s="5"/>
      <c r="DH26" s="6"/>
      <c r="DJ26" s="5"/>
      <c r="DK26" s="6"/>
      <c r="DM26" s="5"/>
      <c r="DN26" s="6"/>
      <c r="DP26" s="5"/>
      <c r="DQ26" s="6"/>
      <c r="DR26" s="3">
        <v>19</v>
      </c>
      <c r="DS26" s="5">
        <v>3.2758959575443884</v>
      </c>
      <c r="DT26" s="6">
        <v>579054</v>
      </c>
      <c r="DU26" s="3">
        <v>22</v>
      </c>
      <c r="DV26" s="5">
        <v>3.799300237974351</v>
      </c>
      <c r="DW26" s="6">
        <v>580116</v>
      </c>
      <c r="DX26" s="3">
        <v>25</v>
      </c>
      <c r="DY26" s="5">
        <v>4.3094829310000069</v>
      </c>
      <c r="DZ26" s="6">
        <v>576851</v>
      </c>
      <c r="EA26" s="3">
        <v>23</v>
      </c>
      <c r="EB26" s="5">
        <v>3.9871647964552372</v>
      </c>
    </row>
    <row r="28" spans="1:132" x14ac:dyDescent="0.3">
      <c r="C28" s="4">
        <f>SUM(C2:C26)</f>
        <v>165660292</v>
      </c>
      <c r="D28" s="4">
        <f>SUM(D2:D26)</f>
        <v>9054</v>
      </c>
      <c r="E28" s="5">
        <f>(D28/C28)*100000</f>
        <v>5.4654014493708605</v>
      </c>
      <c r="F28" s="4">
        <f>SUM(F2:F26)</f>
        <v>167318826</v>
      </c>
      <c r="G28" s="4">
        <f>SUM(G2:G26)</f>
        <v>9457</v>
      </c>
      <c r="H28" s="5">
        <f>(G28/F28)*100000</f>
        <v>5.6520836453872798</v>
      </c>
      <c r="I28" s="4">
        <f>SUM(I2:I26)</f>
        <v>168783955</v>
      </c>
      <c r="J28" s="4">
        <f>SUM(J2:J26)</f>
        <v>9671</v>
      </c>
      <c r="K28" s="5">
        <f>(J28/I28)*100000</f>
        <v>5.7298100402967806</v>
      </c>
      <c r="L28" s="4">
        <f>SUM(L2:L26)</f>
        <v>170089752</v>
      </c>
      <c r="M28" s="4">
        <f>SUM(M2:M26)</f>
        <v>9803</v>
      </c>
      <c r="N28" s="5">
        <f>(M28/L28)*100000</f>
        <v>5.76342776959308</v>
      </c>
      <c r="O28" s="4">
        <f>SUM(O2:O26)</f>
        <v>171366625</v>
      </c>
      <c r="P28" s="4">
        <f>SUM(P2:P26)</f>
        <v>9597</v>
      </c>
      <c r="Q28" s="5">
        <f>(P28/O28)*100000</f>
        <v>5.6002736822295471</v>
      </c>
      <c r="R28" s="4">
        <f>SUM(R2:R26)</f>
        <v>172545151</v>
      </c>
      <c r="S28" s="4">
        <f>SUM(S2:S26)</f>
        <v>9948</v>
      </c>
      <c r="T28" s="5">
        <f>(S28/R28)*100000</f>
        <v>5.7654474451153952</v>
      </c>
      <c r="U28" s="4">
        <f>SUM(U2:U26)</f>
        <v>173867006</v>
      </c>
      <c r="V28" s="4">
        <f>SUM(V2:V26)</f>
        <v>10094</v>
      </c>
      <c r="W28" s="5">
        <f>(V28/U28)*100000</f>
        <v>5.805586828820184</v>
      </c>
      <c r="X28" s="4">
        <f>SUM(X2:X26)</f>
        <v>175107316</v>
      </c>
      <c r="Y28" s="4">
        <f>SUM(Y2:Y26)</f>
        <v>9658</v>
      </c>
      <c r="Z28" s="5">
        <f>(Y28/X28)*100000</f>
        <v>5.5154748645681941</v>
      </c>
      <c r="AA28" s="4">
        <f>SUM(AA2:AA26)</f>
        <v>176466958</v>
      </c>
      <c r="AB28" s="4">
        <f>SUM(AB2:AB26)</f>
        <v>9269</v>
      </c>
      <c r="AC28" s="5">
        <f>(AB28/AA28)*100000</f>
        <v>5.2525413851130134</v>
      </c>
      <c r="AD28" s="4">
        <f>SUM(AD2:AD26)</f>
        <v>177771626</v>
      </c>
      <c r="AE28" s="4">
        <f>SUM(AE2:AE26)</f>
        <v>8700</v>
      </c>
      <c r="AF28" s="5">
        <f>(AE28/AD28)*100000</f>
        <v>4.8939193479616367</v>
      </c>
      <c r="AG28" s="4">
        <f>SUM(AG2:AG26)</f>
        <v>179011177</v>
      </c>
      <c r="AH28" s="4">
        <f>SUM(AH2:AH26)</f>
        <v>8608</v>
      </c>
      <c r="AI28" s="5">
        <f>(AH28/AG28)*100000</f>
        <v>4.8086382896638904</v>
      </c>
      <c r="AJ28" s="4">
        <f>SUM(AJ2:AJ26)</f>
        <v>180170673</v>
      </c>
      <c r="AK28" s="4">
        <f>SUM(AK2:AK26)</f>
        <v>8438</v>
      </c>
      <c r="AL28" s="5">
        <f>(AK28/AJ28)*100000</f>
        <v>4.6833371155804029</v>
      </c>
      <c r="AM28" s="4">
        <f>SUM(AM2:AM26)</f>
        <v>181278073</v>
      </c>
      <c r="AN28" s="4">
        <f>SUM(AN2:AN26)</f>
        <v>8601</v>
      </c>
      <c r="AO28" s="5">
        <f>(AN28/AM28)*100000</f>
        <v>4.744644433637597</v>
      </c>
      <c r="AP28" s="4">
        <f>SUM(AP2:AP26)</f>
        <v>182285006</v>
      </c>
      <c r="AQ28" s="4">
        <f>SUM(AQ2:AQ26)</f>
        <v>8190</v>
      </c>
      <c r="AR28" s="5">
        <f>(AQ28/AP28)*100000</f>
        <v>4.4929641662353736</v>
      </c>
      <c r="AS28" s="4">
        <f>SUM(AS2:AS26)</f>
        <v>183343857</v>
      </c>
      <c r="AT28" s="4">
        <f>SUM(AT2:AT26)</f>
        <v>8022</v>
      </c>
      <c r="AU28" s="5">
        <f>(AT28/AS28)*100000</f>
        <v>4.3753852085701466</v>
      </c>
      <c r="AV28" s="4">
        <f>SUM(AV2:AV26)</f>
        <v>184333900</v>
      </c>
      <c r="AW28" s="4">
        <f>SUM(AW2:AW26)</f>
        <v>9020</v>
      </c>
      <c r="AX28" s="5">
        <f>(AW28/AV28)*100000</f>
        <v>4.8932941797466452</v>
      </c>
      <c r="AY28" s="4">
        <f>SUM(AY2:AY26)</f>
        <v>185295253</v>
      </c>
      <c r="AZ28" s="4">
        <f>SUM(AZ2:AZ26)</f>
        <v>9690</v>
      </c>
      <c r="BA28" s="5">
        <f>(AZ28/AY28)*100000</f>
        <v>5.2294917668506056</v>
      </c>
      <c r="BB28" s="4">
        <f>SUM(BB2:BB26)</f>
        <v>186145871</v>
      </c>
      <c r="BC28" s="4">
        <f>SUM(BC2:BC26)</f>
        <v>9563</v>
      </c>
      <c r="BD28" s="5">
        <f>(BC28/BB28)*100000</f>
        <v>5.1373688541283844</v>
      </c>
      <c r="BE28" s="4">
        <f>SUM(BE2:BE26)</f>
        <v>186810800</v>
      </c>
      <c r="BF28" s="4">
        <f>SUM(BF2:BF26)</f>
        <v>9203</v>
      </c>
      <c r="BG28" s="5">
        <f>(BF28/BE28)*100000</f>
        <v>4.926374706387425</v>
      </c>
      <c r="BH28" s="4">
        <f>SUM(BH2:BH26)</f>
        <v>187259763</v>
      </c>
      <c r="BI28" s="4">
        <f>SUM(BI2:BI26)</f>
        <v>9111</v>
      </c>
      <c r="BJ28" s="5">
        <f>(BI28/BH28)*100000</f>
        <v>4.86543390530725</v>
      </c>
      <c r="BK28" s="4">
        <f>SUM(BK2:BK26)</f>
        <v>189418128</v>
      </c>
      <c r="BL28" s="4">
        <f>SUM(BL2:BL26)</f>
        <v>11737</v>
      </c>
      <c r="BM28" s="5">
        <f>(BL28/BK28)*100000</f>
        <v>6.1963446286408237</v>
      </c>
      <c r="BN28" s="5">
        <f>AVERAGE(BM28,BJ28,BG28,BD28,BA28,AX28,AU28,AR28,AO28,AL28,AI28,AF28,AC28,Z28,W28,T28,Q28,N28,K28,H28,E28)</f>
        <v>5.2284401768192623</v>
      </c>
      <c r="BP28" s="7">
        <f>(BN59-BN28)/100000</f>
        <v>1.2127627741083638E-5</v>
      </c>
    </row>
    <row r="29" spans="1:132" x14ac:dyDescent="0.3">
      <c r="C29" s="3">
        <f>C28*$BP$28</f>
        <v>2009.0663528552159</v>
      </c>
      <c r="F29" s="3">
        <f>F28*$BP$28</f>
        <v>2029.1804358031463</v>
      </c>
      <c r="I29" s="3">
        <f>I28*$BP$28</f>
        <v>2046.9489749078125</v>
      </c>
      <c r="L29" s="3">
        <f>L28*$BP$28</f>
        <v>2062.7851948292364</v>
      </c>
      <c r="O29" s="3">
        <f>O28*$BP$28</f>
        <v>2078.2706352458767</v>
      </c>
      <c r="R29" s="3">
        <f>R28*$BP$28</f>
        <v>2092.5633598570653</v>
      </c>
      <c r="U29" s="3">
        <f>U28*$BP$28</f>
        <v>2108.5943252247553</v>
      </c>
      <c r="X29" s="3">
        <f>X28*$BP$28</f>
        <v>2123.6363431882987</v>
      </c>
      <c r="AA29" s="3">
        <f>AA28*$BP$28</f>
        <v>2140.125575225441</v>
      </c>
      <c r="AD29" s="3">
        <f>AD28*$BP$28</f>
        <v>2155.9481030551451</v>
      </c>
      <c r="AG29" s="3">
        <f>AG28*$BP$28</f>
        <v>2170.9809161492335</v>
      </c>
      <c r="AJ29" s="3">
        <f>AJ28*$BP$28</f>
        <v>2185.0428520045089</v>
      </c>
      <c r="AM29" s="3">
        <f>AM28*$BP$28</f>
        <v>2198.472986964985</v>
      </c>
      <c r="AP29" s="3">
        <f>AP28*$BP$28</f>
        <v>2210.6846955491974</v>
      </c>
      <c r="AS29" s="3">
        <f>AS28*$BP$28</f>
        <v>2223.5260463104714</v>
      </c>
      <c r="AV29" s="3">
        <f>AV28*$BP$28</f>
        <v>2235.5329192621371</v>
      </c>
      <c r="AY29" s="3">
        <f>AY28*$BP$28</f>
        <v>2247.1918505739113</v>
      </c>
      <c r="BB29" s="3">
        <f>BB28*$BP$28</f>
        <v>2257.5078290277761</v>
      </c>
      <c r="BE29" s="3">
        <f>BE28*$BP$28</f>
        <v>2265.5718404140271</v>
      </c>
      <c r="BH29" s="3">
        <f>BH28*$BP$28</f>
        <v>2271.0166965475473</v>
      </c>
      <c r="BK29" s="3">
        <f>BK28*$BP$28</f>
        <v>2297.1925437969312</v>
      </c>
      <c r="BO29" s="3">
        <f>SUM(C29:BK29)</f>
        <v>45409.840476792728</v>
      </c>
      <c r="BP29" s="8">
        <f>(BM59-BM28)/100000</f>
        <v>2.6485046118289182E-5</v>
      </c>
      <c r="BQ29" s="3">
        <f>BP29*BK28</f>
        <v>5016.7478557200029</v>
      </c>
    </row>
    <row r="30" spans="1:132" x14ac:dyDescent="0.3">
      <c r="BL30" s="3" t="s">
        <v>92</v>
      </c>
      <c r="BM30" s="9">
        <f>(BM28-E28)/E28</f>
        <v>0.13374007125388829</v>
      </c>
      <c r="BP30" s="8"/>
    </row>
    <row r="31" spans="1:132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2"/>
    </row>
    <row r="32" spans="1:132" x14ac:dyDescent="0.3">
      <c r="A32" s="1" t="s">
        <v>0</v>
      </c>
      <c r="B32" s="1" t="s">
        <v>1</v>
      </c>
      <c r="C32" s="1" t="s">
        <v>2</v>
      </c>
      <c r="D32" s="1" t="s">
        <v>3</v>
      </c>
      <c r="E32" s="1" t="s">
        <v>4</v>
      </c>
      <c r="F32" s="1" t="s">
        <v>5</v>
      </c>
      <c r="G32" s="1" t="s">
        <v>6</v>
      </c>
      <c r="H32" s="1" t="s">
        <v>7</v>
      </c>
      <c r="I32" s="1" t="s">
        <v>8</v>
      </c>
      <c r="J32" s="1" t="s">
        <v>9</v>
      </c>
      <c r="K32" s="1" t="s">
        <v>10</v>
      </c>
      <c r="L32" s="1" t="s">
        <v>11</v>
      </c>
      <c r="M32" s="1" t="s">
        <v>12</v>
      </c>
      <c r="N32" s="1" t="s">
        <v>13</v>
      </c>
      <c r="O32" s="1" t="s">
        <v>14</v>
      </c>
      <c r="P32" s="1" t="s">
        <v>15</v>
      </c>
      <c r="Q32" s="1" t="s">
        <v>16</v>
      </c>
      <c r="R32" s="1" t="s">
        <v>17</v>
      </c>
      <c r="S32" s="1" t="s">
        <v>18</v>
      </c>
      <c r="T32" s="1" t="s">
        <v>19</v>
      </c>
      <c r="U32" s="1" t="s">
        <v>20</v>
      </c>
      <c r="V32" s="1" t="s">
        <v>21</v>
      </c>
      <c r="W32" s="1" t="s">
        <v>22</v>
      </c>
      <c r="X32" s="1" t="s">
        <v>23</v>
      </c>
      <c r="Y32" s="1" t="s">
        <v>24</v>
      </c>
      <c r="Z32" s="1" t="s">
        <v>25</v>
      </c>
      <c r="AA32" s="1" t="s">
        <v>26</v>
      </c>
      <c r="AB32" s="1" t="s">
        <v>27</v>
      </c>
      <c r="AC32" s="1" t="s">
        <v>28</v>
      </c>
      <c r="AD32" s="1" t="s">
        <v>29</v>
      </c>
      <c r="AE32" s="1" t="s">
        <v>30</v>
      </c>
      <c r="AF32" s="1" t="s">
        <v>31</v>
      </c>
      <c r="AG32" s="1" t="s">
        <v>32</v>
      </c>
      <c r="AH32" s="1" t="s">
        <v>33</v>
      </c>
      <c r="AI32" s="1" t="s">
        <v>34</v>
      </c>
      <c r="AJ32" s="1" t="s">
        <v>35</v>
      </c>
      <c r="AK32" s="1" t="s">
        <v>36</v>
      </c>
      <c r="AL32" s="1" t="s">
        <v>37</v>
      </c>
      <c r="AM32" s="1" t="s">
        <v>38</v>
      </c>
      <c r="AN32" s="1" t="s">
        <v>39</v>
      </c>
      <c r="AO32" s="1" t="s">
        <v>40</v>
      </c>
      <c r="AP32" s="1" t="s">
        <v>41</v>
      </c>
      <c r="AQ32" s="1" t="s">
        <v>42</v>
      </c>
      <c r="AR32" s="1" t="s">
        <v>43</v>
      </c>
      <c r="AS32" s="1" t="s">
        <v>44</v>
      </c>
      <c r="AT32" s="1" t="s">
        <v>45</v>
      </c>
      <c r="AU32" s="1" t="s">
        <v>46</v>
      </c>
      <c r="AV32" s="1" t="s">
        <v>47</v>
      </c>
      <c r="AW32" s="1" t="s">
        <v>48</v>
      </c>
      <c r="AX32" s="1" t="s">
        <v>49</v>
      </c>
      <c r="AY32" s="1" t="s">
        <v>50</v>
      </c>
      <c r="AZ32" s="1" t="s">
        <v>51</v>
      </c>
      <c r="BA32" s="1" t="s">
        <v>52</v>
      </c>
      <c r="BB32" s="1" t="s">
        <v>53</v>
      </c>
      <c r="BC32" s="1" t="s">
        <v>54</v>
      </c>
      <c r="BD32" s="1" t="s">
        <v>55</v>
      </c>
      <c r="BE32" s="1" t="s">
        <v>56</v>
      </c>
      <c r="BF32" s="1" t="s">
        <v>57</v>
      </c>
      <c r="BG32" s="1" t="s">
        <v>58</v>
      </c>
      <c r="BH32" s="1" t="s">
        <v>59</v>
      </c>
      <c r="BI32" s="1" t="s">
        <v>60</v>
      </c>
      <c r="BJ32" s="1" t="s">
        <v>61</v>
      </c>
      <c r="BK32" s="1" t="s">
        <v>62</v>
      </c>
      <c r="BL32" s="1" t="s">
        <v>63</v>
      </c>
      <c r="BM32" s="1" t="s">
        <v>64</v>
      </c>
    </row>
    <row r="33" spans="1:65" x14ac:dyDescent="0.3">
      <c r="A33" s="3" t="s">
        <v>93</v>
      </c>
      <c r="B33" s="3" t="s">
        <v>94</v>
      </c>
      <c r="C33" s="4">
        <v>4452173</v>
      </c>
      <c r="D33" s="3">
        <v>439</v>
      </c>
      <c r="E33" s="5">
        <v>9.8603535846428247</v>
      </c>
      <c r="F33" s="4">
        <v>4467634</v>
      </c>
      <c r="G33" s="3">
        <v>425</v>
      </c>
      <c r="H33" s="5">
        <v>9.5128651988949855</v>
      </c>
      <c r="I33" s="4">
        <v>4480089</v>
      </c>
      <c r="J33" s="3">
        <v>414</v>
      </c>
      <c r="K33" s="5">
        <v>9.2408878484333687</v>
      </c>
      <c r="L33" s="4">
        <v>4503491</v>
      </c>
      <c r="M33" s="3">
        <v>434</v>
      </c>
      <c r="N33" s="5">
        <v>9.6369682985932474</v>
      </c>
      <c r="O33" s="4">
        <v>4530729</v>
      </c>
      <c r="P33" s="3">
        <v>367</v>
      </c>
      <c r="Q33" s="5">
        <v>8.100241705032456</v>
      </c>
      <c r="R33" s="4">
        <v>4569805</v>
      </c>
      <c r="S33" s="3">
        <v>432</v>
      </c>
      <c r="T33" s="5">
        <v>9.4533574189708318</v>
      </c>
      <c r="U33" s="4">
        <v>4628981</v>
      </c>
      <c r="V33" s="3">
        <v>445</v>
      </c>
      <c r="W33" s="5">
        <v>9.6133468683496428</v>
      </c>
      <c r="X33" s="4">
        <v>4672840</v>
      </c>
      <c r="Y33" s="3">
        <v>480</v>
      </c>
      <c r="Z33" s="5">
        <v>10.272125730818946</v>
      </c>
      <c r="AA33" s="4">
        <v>4718206</v>
      </c>
      <c r="AB33" s="3">
        <v>454</v>
      </c>
      <c r="AC33" s="5">
        <v>9.6223013577618275</v>
      </c>
      <c r="AD33" s="4">
        <v>4757938</v>
      </c>
      <c r="AE33" s="3">
        <v>410</v>
      </c>
      <c r="AF33" s="5">
        <v>8.6171782818523486</v>
      </c>
      <c r="AG33" s="6">
        <v>4785514</v>
      </c>
      <c r="AH33" s="3">
        <v>390</v>
      </c>
      <c r="AI33" s="5">
        <v>8.1495947979673655</v>
      </c>
      <c r="AJ33" s="6">
        <v>4799642</v>
      </c>
      <c r="AK33" s="3">
        <v>390</v>
      </c>
      <c r="AL33" s="5">
        <v>8.1256060347834271</v>
      </c>
      <c r="AM33" s="6">
        <v>4816632</v>
      </c>
      <c r="AN33" s="3">
        <v>402</v>
      </c>
      <c r="AO33" s="5">
        <v>8.3460808299243112</v>
      </c>
      <c r="AP33" s="6">
        <v>4831586</v>
      </c>
      <c r="AQ33" s="3">
        <v>416</v>
      </c>
      <c r="AR33" s="5">
        <v>8.6100092185050627</v>
      </c>
      <c r="AS33" s="6">
        <v>4843737</v>
      </c>
      <c r="AT33" s="3">
        <v>374</v>
      </c>
      <c r="AU33" s="5">
        <v>7.7213110455831933</v>
      </c>
      <c r="AV33" s="6">
        <v>4854803</v>
      </c>
      <c r="AW33" s="3">
        <v>473</v>
      </c>
      <c r="AX33" s="5">
        <v>9.7429288067919533</v>
      </c>
      <c r="AY33" s="6">
        <v>4866824</v>
      </c>
      <c r="AZ33" s="3">
        <v>544</v>
      </c>
      <c r="BA33" s="5">
        <v>11.177720829847145</v>
      </c>
      <c r="BB33" s="6">
        <v>4877989</v>
      </c>
      <c r="BC33" s="3">
        <v>602</v>
      </c>
      <c r="BD33" s="5">
        <v>12.341151240808456</v>
      </c>
      <c r="BE33" s="6">
        <v>4891628</v>
      </c>
      <c r="BF33" s="3">
        <v>568</v>
      </c>
      <c r="BG33" s="5">
        <v>11.611676112737927</v>
      </c>
      <c r="BH33" s="6">
        <v>4907965</v>
      </c>
      <c r="BI33" s="3">
        <v>587</v>
      </c>
      <c r="BJ33" s="5">
        <v>11.960150490070733</v>
      </c>
      <c r="BK33" s="6">
        <v>4903000</v>
      </c>
      <c r="BL33" s="3">
        <v>651</v>
      </c>
      <c r="BM33" s="5">
        <f t="shared" ref="BM33:BM57" si="1">(BL33/BK33)*100000</f>
        <v>13.277585151947788</v>
      </c>
    </row>
    <row r="34" spans="1:65" x14ac:dyDescent="0.3">
      <c r="A34" s="3" t="s">
        <v>95</v>
      </c>
      <c r="B34" s="3" t="s">
        <v>94</v>
      </c>
      <c r="C34" s="4">
        <v>627963</v>
      </c>
      <c r="D34" s="3">
        <v>37</v>
      </c>
      <c r="E34" s="5">
        <v>5.8920668892912476</v>
      </c>
      <c r="F34" s="4">
        <v>633714</v>
      </c>
      <c r="G34" s="3">
        <v>38</v>
      </c>
      <c r="H34" s="5">
        <v>5.9963958504940713</v>
      </c>
      <c r="I34" s="4">
        <v>642337</v>
      </c>
      <c r="J34" s="3">
        <v>40</v>
      </c>
      <c r="K34" s="5">
        <v>6.2272607681014787</v>
      </c>
      <c r="L34" s="4">
        <v>648414</v>
      </c>
      <c r="M34" s="3">
        <v>47</v>
      </c>
      <c r="N34" s="5">
        <v>7.2484554620967474</v>
      </c>
      <c r="O34" s="4">
        <v>659286</v>
      </c>
      <c r="P34" s="3">
        <v>40</v>
      </c>
      <c r="Q34" s="5">
        <v>6.0671696350294111</v>
      </c>
      <c r="R34" s="4">
        <v>666946</v>
      </c>
      <c r="S34" s="3">
        <v>37</v>
      </c>
      <c r="T34" s="5">
        <v>5.5476755239554629</v>
      </c>
      <c r="U34" s="4">
        <v>675302</v>
      </c>
      <c r="V34" s="3">
        <v>42</v>
      </c>
      <c r="W34" s="5">
        <v>6.2194395988757618</v>
      </c>
      <c r="X34" s="4">
        <v>680300</v>
      </c>
      <c r="Y34" s="3">
        <v>49</v>
      </c>
      <c r="Z34" s="5">
        <v>7.2027046891077466</v>
      </c>
      <c r="AA34" s="4">
        <v>687455</v>
      </c>
      <c r="AB34" s="3">
        <v>29</v>
      </c>
      <c r="AC34" s="5">
        <v>4.2184579354285008</v>
      </c>
      <c r="AD34" s="4">
        <v>698895</v>
      </c>
      <c r="AE34" s="3">
        <v>26</v>
      </c>
      <c r="AF34" s="5">
        <v>3.7201582498086263</v>
      </c>
      <c r="AG34" s="6">
        <v>713982</v>
      </c>
      <c r="AH34" s="3">
        <v>43</v>
      </c>
      <c r="AI34" s="5">
        <v>6.0225607928491192</v>
      </c>
      <c r="AJ34" s="6">
        <v>722349</v>
      </c>
      <c r="AK34" s="3">
        <v>36</v>
      </c>
      <c r="AL34" s="5">
        <v>4.9837405464671507</v>
      </c>
      <c r="AM34" s="6">
        <v>730810</v>
      </c>
      <c r="AN34" s="3">
        <v>38</v>
      </c>
      <c r="AO34" s="5">
        <v>5.1997099109207596</v>
      </c>
      <c r="AP34" s="6">
        <v>737626</v>
      </c>
      <c r="AQ34" s="3">
        <v>43</v>
      </c>
      <c r="AR34" s="5">
        <v>5.8295125171835052</v>
      </c>
      <c r="AS34" s="6">
        <v>737075</v>
      </c>
      <c r="AT34" s="3">
        <v>37</v>
      </c>
      <c r="AU34" s="5">
        <v>5.0198419428145034</v>
      </c>
      <c r="AV34" s="6">
        <v>738430</v>
      </c>
      <c r="AW34" s="3">
        <v>62</v>
      </c>
      <c r="AX34" s="5">
        <v>8.396191920696614</v>
      </c>
      <c r="AY34" s="6">
        <v>742575</v>
      </c>
      <c r="AZ34" s="3">
        <v>54</v>
      </c>
      <c r="BA34" s="5">
        <v>7.2719927280072723</v>
      </c>
      <c r="BB34" s="6">
        <v>740983</v>
      </c>
      <c r="BC34" s="3">
        <v>78</v>
      </c>
      <c r="BD34" s="5">
        <v>10.52655728943849</v>
      </c>
      <c r="BE34" s="6">
        <v>736624</v>
      </c>
      <c r="BF34" s="3">
        <v>56</v>
      </c>
      <c r="BG34" s="5">
        <v>7.6022502660787596</v>
      </c>
      <c r="BH34" s="6">
        <v>733603</v>
      </c>
      <c r="BI34" s="3">
        <v>78</v>
      </c>
      <c r="BJ34" s="5">
        <v>10.63245379312789</v>
      </c>
      <c r="BK34" s="6">
        <v>731545</v>
      </c>
      <c r="BL34" s="3">
        <v>55</v>
      </c>
      <c r="BM34" s="5">
        <f t="shared" si="1"/>
        <v>7.5183344838663375</v>
      </c>
    </row>
    <row r="35" spans="1:65" x14ac:dyDescent="0.3">
      <c r="A35" s="3" t="s">
        <v>96</v>
      </c>
      <c r="B35" s="3" t="s">
        <v>94</v>
      </c>
      <c r="C35" s="4">
        <v>2678588</v>
      </c>
      <c r="D35" s="3">
        <v>201</v>
      </c>
      <c r="E35" s="5">
        <v>7.5039535755405469</v>
      </c>
      <c r="F35" s="4">
        <v>2691571</v>
      </c>
      <c r="G35" s="3">
        <v>180</v>
      </c>
      <c r="H35" s="5">
        <v>6.6875441888770544</v>
      </c>
      <c r="I35" s="4">
        <v>2705927</v>
      </c>
      <c r="J35" s="3">
        <v>194</v>
      </c>
      <c r="K35" s="5">
        <v>7.1694469215170997</v>
      </c>
      <c r="L35" s="4">
        <v>2724816</v>
      </c>
      <c r="M35" s="3">
        <v>194</v>
      </c>
      <c r="N35" s="5">
        <v>7.1197468012519014</v>
      </c>
      <c r="O35" s="4">
        <v>2749686</v>
      </c>
      <c r="P35" s="3">
        <v>208</v>
      </c>
      <c r="Q35" s="5">
        <v>7.5645000920105057</v>
      </c>
      <c r="R35" s="4">
        <v>2781097</v>
      </c>
      <c r="S35" s="3">
        <v>216</v>
      </c>
      <c r="T35" s="5">
        <v>7.7667193916645125</v>
      </c>
      <c r="U35" s="4">
        <v>2821761</v>
      </c>
      <c r="V35" s="3">
        <v>232</v>
      </c>
      <c r="W35" s="5">
        <v>8.2218160928583242</v>
      </c>
      <c r="X35" s="4">
        <v>2848650</v>
      </c>
      <c r="Y35" s="3">
        <v>241</v>
      </c>
      <c r="Z35" s="5">
        <v>8.460147789303706</v>
      </c>
      <c r="AA35" s="4">
        <v>2874554</v>
      </c>
      <c r="AB35" s="3">
        <v>213</v>
      </c>
      <c r="AC35" s="5">
        <v>7.4098451446728779</v>
      </c>
      <c r="AD35" s="4">
        <v>2896843</v>
      </c>
      <c r="AE35" s="3">
        <v>218</v>
      </c>
      <c r="AF35" s="5">
        <v>7.5254337221589163</v>
      </c>
      <c r="AG35" s="6">
        <v>2921998</v>
      </c>
      <c r="AH35" s="3">
        <v>184</v>
      </c>
      <c r="AI35" s="5">
        <v>6.2970611205072693</v>
      </c>
      <c r="AJ35" s="6">
        <v>2941038</v>
      </c>
      <c r="AK35" s="3">
        <v>204</v>
      </c>
      <c r="AL35" s="5">
        <v>6.9363265622545507</v>
      </c>
      <c r="AM35" s="6">
        <v>2952876</v>
      </c>
      <c r="AN35" s="3">
        <v>235</v>
      </c>
      <c r="AO35" s="5">
        <v>7.9583429849407832</v>
      </c>
      <c r="AP35" s="6">
        <v>2960459</v>
      </c>
      <c r="AQ35" s="3">
        <v>210</v>
      </c>
      <c r="AR35" s="5">
        <v>7.0934946236377536</v>
      </c>
      <c r="AS35" s="6">
        <v>2968759</v>
      </c>
      <c r="AT35" s="3">
        <v>217</v>
      </c>
      <c r="AU35" s="5">
        <v>7.3094515250311654</v>
      </c>
      <c r="AV35" s="6">
        <v>2979732</v>
      </c>
      <c r="AW35" s="3">
        <v>217</v>
      </c>
      <c r="AX35" s="5">
        <v>7.2825341339422476</v>
      </c>
      <c r="AY35" s="6">
        <v>2991815</v>
      </c>
      <c r="AZ35" s="3">
        <v>248</v>
      </c>
      <c r="BA35" s="5">
        <v>8.2892825926736791</v>
      </c>
      <c r="BB35" s="6">
        <v>3003855</v>
      </c>
      <c r="BC35" s="3">
        <v>278</v>
      </c>
      <c r="BD35" s="5">
        <v>9.2547742817146634</v>
      </c>
      <c r="BE35" s="6">
        <v>3012161</v>
      </c>
      <c r="BF35" s="3">
        <v>264</v>
      </c>
      <c r="BG35" s="5">
        <v>8.7644717530039067</v>
      </c>
      <c r="BH35" s="6">
        <v>3020985</v>
      </c>
      <c r="BI35" s="3">
        <v>270</v>
      </c>
      <c r="BJ35" s="5">
        <v>8.9374823112329267</v>
      </c>
      <c r="BK35" s="6">
        <v>3011524</v>
      </c>
      <c r="BL35" s="3">
        <v>369</v>
      </c>
      <c r="BM35" s="5">
        <f t="shared" si="1"/>
        <v>12.252932402331842</v>
      </c>
    </row>
    <row r="36" spans="1:65" x14ac:dyDescent="0.3">
      <c r="A36" s="3" t="s">
        <v>97</v>
      </c>
      <c r="B36" s="3" t="s">
        <v>94</v>
      </c>
      <c r="C36" s="4">
        <v>16047515</v>
      </c>
      <c r="D36" s="3">
        <v>920</v>
      </c>
      <c r="E36" s="5">
        <v>5.7329748562316345</v>
      </c>
      <c r="F36" s="4">
        <v>16356966</v>
      </c>
      <c r="G36" s="3">
        <v>951</v>
      </c>
      <c r="H36" s="5">
        <v>5.8140366618112429</v>
      </c>
      <c r="I36" s="4">
        <v>16689370</v>
      </c>
      <c r="J36" s="3">
        <v>994</v>
      </c>
      <c r="K36" s="5">
        <v>5.9558868908772471</v>
      </c>
      <c r="L36" s="4">
        <v>17004085</v>
      </c>
      <c r="M36" s="3">
        <v>994</v>
      </c>
      <c r="N36" s="5">
        <v>5.8456541472240344</v>
      </c>
      <c r="O36" s="4">
        <v>17415318</v>
      </c>
      <c r="P36" s="3">
        <v>1018</v>
      </c>
      <c r="Q36" s="5">
        <v>5.8454287197052617</v>
      </c>
      <c r="R36" s="4">
        <v>17842038</v>
      </c>
      <c r="S36" s="3">
        <v>983</v>
      </c>
      <c r="T36" s="5">
        <v>5.5094602982013603</v>
      </c>
      <c r="U36" s="4">
        <v>18166990</v>
      </c>
      <c r="V36" s="3">
        <v>1199</v>
      </c>
      <c r="W36" s="5">
        <v>6.5998825342007672</v>
      </c>
      <c r="X36" s="4">
        <v>18367842</v>
      </c>
      <c r="Y36" s="3">
        <v>1301</v>
      </c>
      <c r="Z36" s="5">
        <v>7.0830313109182876</v>
      </c>
      <c r="AA36" s="4">
        <v>18527305</v>
      </c>
      <c r="AB36" s="3">
        <v>1279</v>
      </c>
      <c r="AC36" s="5">
        <v>6.903324579586724</v>
      </c>
      <c r="AD36" s="4">
        <v>18652644</v>
      </c>
      <c r="AE36" s="3">
        <v>1118</v>
      </c>
      <c r="AF36" s="5">
        <v>5.9937883337075428</v>
      </c>
      <c r="AG36" s="6">
        <v>18846143</v>
      </c>
      <c r="AH36" s="3">
        <v>1093</v>
      </c>
      <c r="AI36" s="5">
        <v>5.7995951744608965</v>
      </c>
      <c r="AJ36" s="6">
        <v>19055607</v>
      </c>
      <c r="AK36" s="3">
        <v>1119</v>
      </c>
      <c r="AL36" s="5">
        <v>5.8722873535332667</v>
      </c>
      <c r="AM36" s="6">
        <v>19302016</v>
      </c>
      <c r="AN36" s="3">
        <v>1182</v>
      </c>
      <c r="AO36" s="5">
        <v>6.1237126733290443</v>
      </c>
      <c r="AP36" s="6">
        <v>19551678</v>
      </c>
      <c r="AQ36" s="3">
        <v>1122</v>
      </c>
      <c r="AR36" s="5">
        <v>5.7386378805952107</v>
      </c>
      <c r="AS36" s="6">
        <v>19853880</v>
      </c>
      <c r="AT36" s="4">
        <v>1159</v>
      </c>
      <c r="AU36" s="5">
        <v>5.8376498699498534</v>
      </c>
      <c r="AV36" s="6">
        <v>20219111</v>
      </c>
      <c r="AW36" s="4">
        <v>1208</v>
      </c>
      <c r="AX36" s="5">
        <v>5.9745455673100558</v>
      </c>
      <c r="AY36" s="6">
        <v>20627237</v>
      </c>
      <c r="AZ36" s="4">
        <v>1294</v>
      </c>
      <c r="BA36" s="5">
        <v>6.2732589924670954</v>
      </c>
      <c r="BB36" s="6">
        <v>20977089</v>
      </c>
      <c r="BC36" s="4">
        <v>1269</v>
      </c>
      <c r="BD36" s="5">
        <v>6.0494571005538473</v>
      </c>
      <c r="BE36" s="6">
        <v>21254926</v>
      </c>
      <c r="BF36" s="3">
        <v>1315</v>
      </c>
      <c r="BG36" s="5">
        <v>6.1868011208319427</v>
      </c>
      <c r="BH36" s="6">
        <v>21492056</v>
      </c>
      <c r="BI36" s="3">
        <v>1334</v>
      </c>
      <c r="BJ36" s="5">
        <v>6.2069445566305985</v>
      </c>
      <c r="BK36" s="6">
        <v>21538187</v>
      </c>
      <c r="BL36" s="3">
        <v>1519</v>
      </c>
      <c r="BM36" s="5">
        <f t="shared" si="1"/>
        <v>7.0525898953333455</v>
      </c>
    </row>
    <row r="37" spans="1:65" x14ac:dyDescent="0.3">
      <c r="A37" s="3" t="s">
        <v>98</v>
      </c>
      <c r="B37" s="3" t="s">
        <v>94</v>
      </c>
      <c r="C37" s="4">
        <v>1299430</v>
      </c>
      <c r="D37" s="3">
        <v>23</v>
      </c>
      <c r="E37" s="5">
        <v>1.7700068491569381</v>
      </c>
      <c r="F37" s="4">
        <v>1319962</v>
      </c>
      <c r="G37" s="3">
        <v>40</v>
      </c>
      <c r="H37" s="5">
        <v>3.0303902688107689</v>
      </c>
      <c r="I37" s="4">
        <v>1340372</v>
      </c>
      <c r="J37" s="3">
        <v>31</v>
      </c>
      <c r="K37" s="5">
        <v>2.3127907774856533</v>
      </c>
      <c r="L37" s="4">
        <v>1363380</v>
      </c>
      <c r="M37" s="3">
        <v>33</v>
      </c>
      <c r="N37" s="5">
        <v>2.4204550455485632</v>
      </c>
      <c r="O37" s="4">
        <v>1391802</v>
      </c>
      <c r="P37" s="3">
        <v>31</v>
      </c>
      <c r="Q37" s="5">
        <v>2.2273283125042211</v>
      </c>
      <c r="R37" s="4">
        <v>1428241</v>
      </c>
      <c r="S37" s="3">
        <v>44</v>
      </c>
      <c r="T37" s="5">
        <v>3.0807125688171673</v>
      </c>
      <c r="U37" s="4">
        <v>1468669</v>
      </c>
      <c r="V37" s="3">
        <v>38</v>
      </c>
      <c r="W37" s="5">
        <v>2.5873767336275226</v>
      </c>
      <c r="X37" s="4">
        <v>1505105</v>
      </c>
      <c r="Y37" s="3">
        <v>48</v>
      </c>
      <c r="Z37" s="5">
        <v>3.1891462721869903</v>
      </c>
      <c r="AA37" s="4">
        <v>1534320</v>
      </c>
      <c r="AB37" s="3">
        <v>24</v>
      </c>
      <c r="AC37" s="5">
        <v>1.5642108556233378</v>
      </c>
      <c r="AD37" s="4">
        <v>1554439</v>
      </c>
      <c r="AE37" s="3">
        <v>22</v>
      </c>
      <c r="AF37" s="5">
        <v>1.4153015975538443</v>
      </c>
      <c r="AG37" s="6">
        <v>1570819</v>
      </c>
      <c r="AH37" s="3">
        <v>22</v>
      </c>
      <c r="AI37" s="5">
        <v>1.4005432834718703</v>
      </c>
      <c r="AJ37" s="6">
        <v>1584272</v>
      </c>
      <c r="AK37" s="3">
        <v>29</v>
      </c>
      <c r="AL37" s="5">
        <v>1.8304937535978671</v>
      </c>
      <c r="AM37" s="6">
        <v>1595910</v>
      </c>
      <c r="AN37" s="3">
        <v>32</v>
      </c>
      <c r="AO37" s="5">
        <v>2.0051256023209327</v>
      </c>
      <c r="AP37" s="6">
        <v>1612053</v>
      </c>
      <c r="AQ37" s="3">
        <v>31</v>
      </c>
      <c r="AR37" s="5">
        <v>1.9230136974404688</v>
      </c>
      <c r="AS37" s="6">
        <v>1632248</v>
      </c>
      <c r="AT37" s="3">
        <v>36</v>
      </c>
      <c r="AU37" s="5">
        <v>2.205547196259392</v>
      </c>
      <c r="AV37" s="6">
        <v>1652495</v>
      </c>
      <c r="AW37" s="3">
        <v>33</v>
      </c>
      <c r="AX37" s="5">
        <v>1.996980323692356</v>
      </c>
      <c r="AY37" s="6">
        <v>1684036</v>
      </c>
      <c r="AZ37" s="3">
        <v>30</v>
      </c>
      <c r="BA37" s="5">
        <v>1.7814346011605451</v>
      </c>
      <c r="BB37" s="6">
        <v>1719745</v>
      </c>
      <c r="BC37" s="3">
        <v>50</v>
      </c>
      <c r="BD37" s="5">
        <v>2.9074077842936017</v>
      </c>
      <c r="BE37" s="6">
        <v>1752074</v>
      </c>
      <c r="BF37" s="3">
        <v>41</v>
      </c>
      <c r="BG37" s="5">
        <v>2.3400838092454999</v>
      </c>
      <c r="BH37" s="6">
        <v>1789060</v>
      </c>
      <c r="BI37" s="3">
        <v>27</v>
      </c>
      <c r="BJ37" s="5">
        <v>1.5091724145640728</v>
      </c>
      <c r="BK37" s="6">
        <v>1839106</v>
      </c>
      <c r="BL37" s="3">
        <v>42</v>
      </c>
      <c r="BM37" s="5">
        <f t="shared" si="1"/>
        <v>2.283718284862319</v>
      </c>
    </row>
    <row r="38" spans="1:65" x14ac:dyDescent="0.3">
      <c r="A38" s="3" t="s">
        <v>99</v>
      </c>
      <c r="B38" s="3" t="s">
        <v>94</v>
      </c>
      <c r="C38" s="4">
        <v>6091866</v>
      </c>
      <c r="D38" s="3">
        <v>366</v>
      </c>
      <c r="E38" s="5">
        <v>6.0080113383977913</v>
      </c>
      <c r="F38" s="4">
        <v>6127760</v>
      </c>
      <c r="G38" s="3">
        <v>435</v>
      </c>
      <c r="H38" s="5">
        <v>7.0988419912007004</v>
      </c>
      <c r="I38" s="4">
        <v>6155967</v>
      </c>
      <c r="J38" s="3">
        <v>384</v>
      </c>
      <c r="K38" s="5">
        <v>6.2378502029006979</v>
      </c>
      <c r="L38" s="4">
        <v>6196638</v>
      </c>
      <c r="M38" s="3">
        <v>345</v>
      </c>
      <c r="N38" s="5">
        <v>5.5675351698776012</v>
      </c>
      <c r="O38" s="4">
        <v>6233007</v>
      </c>
      <c r="P38" s="3">
        <v>332</v>
      </c>
      <c r="Q38" s="5">
        <v>5.3264820655584053</v>
      </c>
      <c r="R38" s="4">
        <v>6278616</v>
      </c>
      <c r="S38" s="3">
        <v>366</v>
      </c>
      <c r="T38" s="5">
        <v>5.8293101537026626</v>
      </c>
      <c r="U38" s="4">
        <v>6332669</v>
      </c>
      <c r="V38" s="3">
        <v>372</v>
      </c>
      <c r="W38" s="5">
        <v>5.8743003937202465</v>
      </c>
      <c r="X38" s="4">
        <v>6379599</v>
      </c>
      <c r="Y38" s="3">
        <v>370</v>
      </c>
      <c r="Z38" s="5">
        <v>5.7997375697124536</v>
      </c>
      <c r="AA38" s="4">
        <v>6424806</v>
      </c>
      <c r="AB38" s="3">
        <v>319</v>
      </c>
      <c r="AC38" s="5">
        <v>4.965130464639711</v>
      </c>
      <c r="AD38" s="4">
        <v>6459325</v>
      </c>
      <c r="AE38" s="3">
        <v>340</v>
      </c>
      <c r="AF38" s="5">
        <v>5.2637078951748055</v>
      </c>
      <c r="AG38" s="6">
        <v>6490555</v>
      </c>
      <c r="AH38" s="3">
        <v>314</v>
      </c>
      <c r="AI38" s="5">
        <v>4.8377989247452646</v>
      </c>
      <c r="AJ38" s="6">
        <v>6517250</v>
      </c>
      <c r="AK38" s="3">
        <v>312</v>
      </c>
      <c r="AL38" s="5">
        <v>4.7872952549004566</v>
      </c>
      <c r="AM38" s="6">
        <v>6538989</v>
      </c>
      <c r="AN38" s="3">
        <v>342</v>
      </c>
      <c r="AO38" s="5">
        <v>5.2301663147009423</v>
      </c>
      <c r="AP38" s="6">
        <v>6570575</v>
      </c>
      <c r="AQ38" s="3">
        <v>398</v>
      </c>
      <c r="AR38" s="5">
        <v>6.0573085308363428</v>
      </c>
      <c r="AS38" s="6">
        <v>6596019</v>
      </c>
      <c r="AT38" s="3">
        <v>364</v>
      </c>
      <c r="AU38" s="5">
        <v>5.5184801620492605</v>
      </c>
      <c r="AV38" s="6">
        <v>6611442</v>
      </c>
      <c r="AW38" s="3">
        <v>389</v>
      </c>
      <c r="AX38" s="5">
        <v>5.8837391298297712</v>
      </c>
      <c r="AY38" s="6">
        <v>6637898</v>
      </c>
      <c r="AZ38" s="3">
        <v>480</v>
      </c>
      <c r="BA38" s="5">
        <v>7.2312048181517703</v>
      </c>
      <c r="BB38" s="6">
        <v>6662068</v>
      </c>
      <c r="BC38" s="3">
        <v>456</v>
      </c>
      <c r="BD38" s="5">
        <v>6.8447214888830317</v>
      </c>
      <c r="BE38" s="6">
        <v>6698481</v>
      </c>
      <c r="BF38" s="3">
        <v>473</v>
      </c>
      <c r="BG38" s="5">
        <v>7.0613024057245219</v>
      </c>
      <c r="BH38" s="6">
        <v>6731010</v>
      </c>
      <c r="BI38" s="3">
        <v>466</v>
      </c>
      <c r="BJ38" s="5">
        <v>6.9231809193568274</v>
      </c>
      <c r="BK38" s="6">
        <v>6732000</v>
      </c>
      <c r="BL38" s="3">
        <v>617</v>
      </c>
      <c r="BM38" s="5">
        <f t="shared" si="1"/>
        <v>9.1651812240047548</v>
      </c>
    </row>
    <row r="39" spans="1:65" x14ac:dyDescent="0.3">
      <c r="A39" s="3" t="s">
        <v>100</v>
      </c>
      <c r="B39" s="3" t="s">
        <v>94</v>
      </c>
      <c r="C39" s="4">
        <v>2929067</v>
      </c>
      <c r="D39" s="3">
        <v>57</v>
      </c>
      <c r="E39" s="5">
        <v>1.9460121601861617</v>
      </c>
      <c r="F39" s="4">
        <v>2931997</v>
      </c>
      <c r="G39" s="3">
        <v>61</v>
      </c>
      <c r="H39" s="5">
        <v>2.0804932610776885</v>
      </c>
      <c r="I39" s="4">
        <v>2934234</v>
      </c>
      <c r="J39" s="3">
        <v>54</v>
      </c>
      <c r="K39" s="5">
        <v>1.8403440216424456</v>
      </c>
      <c r="L39" s="4">
        <v>2941999</v>
      </c>
      <c r="M39" s="3">
        <v>50</v>
      </c>
      <c r="N39" s="5">
        <v>1.6995247109193445</v>
      </c>
      <c r="O39" s="4">
        <v>2953635</v>
      </c>
      <c r="P39" s="3">
        <v>57</v>
      </c>
      <c r="Q39" s="5">
        <v>1.9298254523663214</v>
      </c>
      <c r="R39" s="4">
        <v>2964454</v>
      </c>
      <c r="S39" s="3">
        <v>43</v>
      </c>
      <c r="T39" s="5">
        <v>1.4505200620417789</v>
      </c>
      <c r="U39" s="4">
        <v>2982644</v>
      </c>
      <c r="V39" s="3">
        <v>73</v>
      </c>
      <c r="W39" s="5">
        <v>2.4474928955651429</v>
      </c>
      <c r="X39" s="4">
        <v>2999212</v>
      </c>
      <c r="Y39" s="3">
        <v>50</v>
      </c>
      <c r="Z39" s="5">
        <v>1.6671045594642859</v>
      </c>
      <c r="AA39" s="4">
        <v>3016734</v>
      </c>
      <c r="AB39" s="3">
        <v>81</v>
      </c>
      <c r="AC39" s="5">
        <v>2.6850229420293603</v>
      </c>
      <c r="AD39" s="4">
        <v>3032870</v>
      </c>
      <c r="AE39" s="3">
        <v>43</v>
      </c>
      <c r="AF39" s="5">
        <v>1.4177989824819395</v>
      </c>
      <c r="AG39" s="6">
        <v>3050819</v>
      </c>
      <c r="AH39" s="3">
        <v>54</v>
      </c>
      <c r="AI39" s="5">
        <v>1.7700165103206713</v>
      </c>
      <c r="AJ39" s="6">
        <v>3066772</v>
      </c>
      <c r="AK39" s="3">
        <v>52</v>
      </c>
      <c r="AL39" s="5">
        <v>1.6955939339474861</v>
      </c>
      <c r="AM39" s="6">
        <v>3076844</v>
      </c>
      <c r="AN39" s="3">
        <v>61</v>
      </c>
      <c r="AO39" s="5">
        <v>1.9825509515594553</v>
      </c>
      <c r="AP39" s="6">
        <v>3093935</v>
      </c>
      <c r="AQ39" s="3">
        <v>57</v>
      </c>
      <c r="AR39" s="5">
        <v>1.8423140757643583</v>
      </c>
      <c r="AS39" s="6">
        <v>3110643</v>
      </c>
      <c r="AT39" s="3">
        <v>78</v>
      </c>
      <c r="AU39" s="5">
        <v>2.5075201493710462</v>
      </c>
      <c r="AV39" s="6">
        <v>3122541</v>
      </c>
      <c r="AW39" s="3">
        <v>73</v>
      </c>
      <c r="AX39" s="5">
        <v>2.337839599223837</v>
      </c>
      <c r="AY39" s="6">
        <v>3133210</v>
      </c>
      <c r="AZ39" s="3">
        <v>85</v>
      </c>
      <c r="BA39" s="5">
        <v>2.7128727407355395</v>
      </c>
      <c r="BB39" s="6">
        <v>3143734</v>
      </c>
      <c r="BC39" s="3">
        <v>104</v>
      </c>
      <c r="BD39" s="5">
        <v>3.3081679302383722</v>
      </c>
      <c r="BE39" s="6">
        <v>3149900</v>
      </c>
      <c r="BF39" s="3">
        <v>81</v>
      </c>
      <c r="BG39" s="5">
        <v>2.5715102066732278</v>
      </c>
      <c r="BH39" s="6">
        <v>3159596</v>
      </c>
      <c r="BI39" s="3">
        <v>80</v>
      </c>
      <c r="BJ39" s="5">
        <v>2.5319692770847921</v>
      </c>
      <c r="BK39" s="6">
        <v>3155000</v>
      </c>
      <c r="BL39" s="3">
        <v>106</v>
      </c>
      <c r="BM39" s="5">
        <f t="shared" si="1"/>
        <v>3.3597464342313788</v>
      </c>
    </row>
    <row r="40" spans="1:65" x14ac:dyDescent="0.3">
      <c r="A40" s="3" t="s">
        <v>101</v>
      </c>
      <c r="B40" s="3" t="s">
        <v>94</v>
      </c>
      <c r="C40" s="4">
        <v>2693681</v>
      </c>
      <c r="D40" s="3">
        <v>140</v>
      </c>
      <c r="E40" s="5">
        <v>5.1973489065705998</v>
      </c>
      <c r="F40" s="4">
        <v>2702162</v>
      </c>
      <c r="G40" s="3">
        <v>142</v>
      </c>
      <c r="H40" s="5">
        <v>5.2550513255681928</v>
      </c>
      <c r="I40" s="4">
        <v>2713535</v>
      </c>
      <c r="J40" s="3">
        <v>129</v>
      </c>
      <c r="K40" s="5">
        <v>4.7539464204441808</v>
      </c>
      <c r="L40" s="4">
        <v>2723004</v>
      </c>
      <c r="M40" s="3">
        <v>120</v>
      </c>
      <c r="N40" s="5">
        <v>4.4068976762428553</v>
      </c>
      <c r="O40" s="4">
        <v>2734373</v>
      </c>
      <c r="P40" s="3">
        <v>116</v>
      </c>
      <c r="Q40" s="5">
        <v>4.2422888172169637</v>
      </c>
      <c r="R40" s="4">
        <v>2745299</v>
      </c>
      <c r="S40" s="3">
        <v>106</v>
      </c>
      <c r="T40" s="5">
        <v>3.8611459079684947</v>
      </c>
      <c r="U40" s="4">
        <v>2762931</v>
      </c>
      <c r="V40" s="3">
        <v>113</v>
      </c>
      <c r="W40" s="5">
        <v>4.089859645427266</v>
      </c>
      <c r="X40" s="4">
        <v>2783785</v>
      </c>
      <c r="Y40" s="3">
        <v>113</v>
      </c>
      <c r="Z40" s="5">
        <v>4.059221527524576</v>
      </c>
      <c r="AA40" s="4">
        <v>2808076</v>
      </c>
      <c r="AB40" s="3">
        <v>111</v>
      </c>
      <c r="AC40" s="5">
        <v>3.9528844660899489</v>
      </c>
      <c r="AD40" s="4">
        <v>2832704</v>
      </c>
      <c r="AE40" s="3">
        <v>127</v>
      </c>
      <c r="AF40" s="5">
        <v>4.4833487720566643</v>
      </c>
      <c r="AG40" s="6">
        <v>2858266</v>
      </c>
      <c r="AH40" s="3">
        <v>103</v>
      </c>
      <c r="AI40" s="5">
        <v>3.603583431353135</v>
      </c>
      <c r="AJ40" s="6">
        <v>2869677</v>
      </c>
      <c r="AK40" s="3">
        <v>122</v>
      </c>
      <c r="AL40" s="5">
        <v>4.25134954212617</v>
      </c>
      <c r="AM40" s="6">
        <v>2886024</v>
      </c>
      <c r="AN40" s="3">
        <v>102</v>
      </c>
      <c r="AO40" s="5">
        <v>3.5342741432503679</v>
      </c>
      <c r="AP40" s="6">
        <v>2894306</v>
      </c>
      <c r="AQ40" s="3">
        <v>116</v>
      </c>
      <c r="AR40" s="5">
        <v>4.0078692439569279</v>
      </c>
      <c r="AS40" s="6">
        <v>2901861</v>
      </c>
      <c r="AT40" s="3">
        <v>104</v>
      </c>
      <c r="AU40" s="5">
        <v>3.5839070169108722</v>
      </c>
      <c r="AV40" s="6">
        <v>2910717</v>
      </c>
      <c r="AW40" s="3">
        <v>132</v>
      </c>
      <c r="AX40" s="5">
        <v>4.5349650962288672</v>
      </c>
      <c r="AY40" s="6">
        <v>2912977</v>
      </c>
      <c r="AZ40" s="3">
        <v>147</v>
      </c>
      <c r="BA40" s="5">
        <v>5.0463838197143334</v>
      </c>
      <c r="BB40" s="6">
        <v>2910892</v>
      </c>
      <c r="BC40" s="3">
        <v>185</v>
      </c>
      <c r="BD40" s="5">
        <v>6.3554401880935467</v>
      </c>
      <c r="BE40" s="6">
        <v>2912748</v>
      </c>
      <c r="BF40" s="3">
        <v>160</v>
      </c>
      <c r="BG40" s="5">
        <v>5.4930944935847519</v>
      </c>
      <c r="BH40" s="6">
        <v>2912635</v>
      </c>
      <c r="BI40" s="3">
        <v>137</v>
      </c>
      <c r="BJ40" s="5">
        <v>4.703644637930946</v>
      </c>
      <c r="BK40" s="6">
        <v>2937880</v>
      </c>
      <c r="BL40" s="3">
        <v>194</v>
      </c>
      <c r="BM40" s="5">
        <f t="shared" si="1"/>
        <v>6.6034010919438497</v>
      </c>
    </row>
    <row r="41" spans="1:65" x14ac:dyDescent="0.3">
      <c r="A41" s="3" t="s">
        <v>102</v>
      </c>
      <c r="B41" s="3" t="s">
        <v>94</v>
      </c>
      <c r="C41" s="4">
        <v>4049021</v>
      </c>
      <c r="D41" s="3">
        <v>203</v>
      </c>
      <c r="E41" s="5">
        <v>5.0135575982441187</v>
      </c>
      <c r="F41" s="4">
        <v>4068132</v>
      </c>
      <c r="G41" s="3">
        <v>218</v>
      </c>
      <c r="H41" s="5">
        <v>5.3587248398036254</v>
      </c>
      <c r="I41" s="4">
        <v>4089875</v>
      </c>
      <c r="J41" s="3">
        <v>194</v>
      </c>
      <c r="K41" s="5">
        <v>4.7434212537057983</v>
      </c>
      <c r="L41" s="4">
        <v>4117170</v>
      </c>
      <c r="M41" s="3">
        <v>190</v>
      </c>
      <c r="N41" s="5">
        <v>4.6148203741890663</v>
      </c>
      <c r="O41" s="4">
        <v>4146101</v>
      </c>
      <c r="P41" s="3">
        <v>228</v>
      </c>
      <c r="Q41" s="5">
        <v>5.4991424473258128</v>
      </c>
      <c r="R41" s="4">
        <v>4182742</v>
      </c>
      <c r="S41" s="3">
        <v>222</v>
      </c>
      <c r="T41" s="5">
        <v>5.3075231510812761</v>
      </c>
      <c r="U41" s="4">
        <v>4219239</v>
      </c>
      <c r="V41" s="3">
        <v>191</v>
      </c>
      <c r="W41" s="5">
        <v>4.5268826914047766</v>
      </c>
      <c r="X41" s="4">
        <v>4256672</v>
      </c>
      <c r="Y41" s="3">
        <v>213</v>
      </c>
      <c r="Z41" s="5">
        <v>5.0039091572007433</v>
      </c>
      <c r="AA41" s="4">
        <v>4289878</v>
      </c>
      <c r="AB41" s="3">
        <v>240</v>
      </c>
      <c r="AC41" s="5">
        <v>5.5945646939143723</v>
      </c>
      <c r="AD41" s="4">
        <v>4317074</v>
      </c>
      <c r="AE41" s="3">
        <v>207</v>
      </c>
      <c r="AF41" s="5">
        <v>4.794914333180297</v>
      </c>
      <c r="AG41" s="6">
        <v>4348464</v>
      </c>
      <c r="AH41" s="3">
        <v>199</v>
      </c>
      <c r="AI41" s="5">
        <v>4.5763285610735194</v>
      </c>
      <c r="AJ41" s="6">
        <v>4370817</v>
      </c>
      <c r="AK41" s="3">
        <v>186</v>
      </c>
      <c r="AL41" s="5">
        <v>4.2554973132025431</v>
      </c>
      <c r="AM41" s="6">
        <v>4387865</v>
      </c>
      <c r="AN41" s="3">
        <v>234</v>
      </c>
      <c r="AO41" s="5">
        <v>5.3328896855304349</v>
      </c>
      <c r="AP41" s="6">
        <v>4406906</v>
      </c>
      <c r="AQ41" s="3">
        <v>200</v>
      </c>
      <c r="AR41" s="5">
        <v>4.5383314279905225</v>
      </c>
      <c r="AS41" s="6">
        <v>4416992</v>
      </c>
      <c r="AT41" s="3">
        <v>203</v>
      </c>
      <c r="AU41" s="5">
        <v>4.5958878802587826</v>
      </c>
      <c r="AV41" s="6">
        <v>4429126</v>
      </c>
      <c r="AW41" s="3">
        <v>250</v>
      </c>
      <c r="AX41" s="5">
        <v>5.6444544589609782</v>
      </c>
      <c r="AY41" s="6">
        <v>4440306</v>
      </c>
      <c r="AZ41" s="3">
        <v>302</v>
      </c>
      <c r="BA41" s="5">
        <v>6.80133306128001</v>
      </c>
      <c r="BB41" s="6">
        <v>4455590</v>
      </c>
      <c r="BC41" s="3">
        <v>310</v>
      </c>
      <c r="BD41" s="5">
        <v>6.9575521984742768</v>
      </c>
      <c r="BE41" s="6">
        <v>4464273</v>
      </c>
      <c r="BF41" s="3">
        <v>258</v>
      </c>
      <c r="BG41" s="5">
        <v>5.7792164592084756</v>
      </c>
      <c r="BH41" s="6">
        <v>4472345</v>
      </c>
      <c r="BI41" s="3">
        <v>250</v>
      </c>
      <c r="BJ41" s="5">
        <v>5.5899086497128465</v>
      </c>
      <c r="BK41" s="6">
        <v>4468000</v>
      </c>
      <c r="BL41" s="3">
        <v>404</v>
      </c>
      <c r="BM41" s="5">
        <f t="shared" si="1"/>
        <v>9.0420769919427038</v>
      </c>
    </row>
    <row r="42" spans="1:65" x14ac:dyDescent="0.3">
      <c r="A42" s="3" t="s">
        <v>103</v>
      </c>
      <c r="B42" s="3" t="s">
        <v>94</v>
      </c>
      <c r="C42" s="4">
        <v>4471885</v>
      </c>
      <c r="D42" s="3">
        <v>596</v>
      </c>
      <c r="E42" s="5">
        <v>13.327713033765404</v>
      </c>
      <c r="F42" s="4">
        <v>4477875</v>
      </c>
      <c r="G42" s="3">
        <v>533</v>
      </c>
      <c r="H42" s="5">
        <v>11.902967367333837</v>
      </c>
      <c r="I42" s="4">
        <v>4497267</v>
      </c>
      <c r="J42" s="3">
        <v>601</v>
      </c>
      <c r="K42" s="5">
        <v>13.363671758870444</v>
      </c>
      <c r="L42" s="4">
        <v>4521042</v>
      </c>
      <c r="M42" s="3">
        <v>599</v>
      </c>
      <c r="N42" s="5">
        <v>13.249158048078298</v>
      </c>
      <c r="O42" s="4">
        <v>4552238</v>
      </c>
      <c r="P42" s="3">
        <v>600</v>
      </c>
      <c r="Q42" s="5">
        <v>13.180330202419119</v>
      </c>
      <c r="R42" s="4">
        <v>4576628</v>
      </c>
      <c r="S42" s="3">
        <v>586</v>
      </c>
      <c r="T42" s="5">
        <v>12.804186837995134</v>
      </c>
      <c r="U42" s="4">
        <v>4302665</v>
      </c>
      <c r="V42" s="3">
        <v>552</v>
      </c>
      <c r="W42" s="5">
        <v>12.829258145823577</v>
      </c>
      <c r="X42" s="4">
        <v>4375581</v>
      </c>
      <c r="Y42" s="3">
        <v>622</v>
      </c>
      <c r="Z42" s="5">
        <v>14.215255071269391</v>
      </c>
      <c r="AA42" s="4">
        <v>4435586</v>
      </c>
      <c r="AB42" s="3">
        <v>538</v>
      </c>
      <c r="AC42" s="5">
        <v>12.129175265680791</v>
      </c>
      <c r="AD42" s="4">
        <v>4491648</v>
      </c>
      <c r="AE42" s="3">
        <v>571</v>
      </c>
      <c r="AF42" s="5">
        <v>12.712483257815393</v>
      </c>
      <c r="AG42" s="6">
        <v>4544635</v>
      </c>
      <c r="AH42" s="3">
        <v>537</v>
      </c>
      <c r="AI42" s="5">
        <v>11.816130448319832</v>
      </c>
      <c r="AJ42" s="6">
        <v>4576244</v>
      </c>
      <c r="AK42" s="3">
        <v>542</v>
      </c>
      <c r="AL42" s="5">
        <v>11.843774064494813</v>
      </c>
      <c r="AM42" s="6">
        <v>4602067</v>
      </c>
      <c r="AN42" s="3">
        <v>543</v>
      </c>
      <c r="AO42" s="5">
        <v>11.799045950439226</v>
      </c>
      <c r="AP42" s="6">
        <v>4626040</v>
      </c>
      <c r="AQ42" s="3">
        <v>549</v>
      </c>
      <c r="AR42" s="5">
        <v>11.867601663625909</v>
      </c>
      <c r="AS42" s="6">
        <v>4645938</v>
      </c>
      <c r="AT42" s="3">
        <v>538</v>
      </c>
      <c r="AU42" s="5">
        <v>11.580008170578255</v>
      </c>
      <c r="AV42" s="6">
        <v>4666998</v>
      </c>
      <c r="AW42" s="3">
        <v>569</v>
      </c>
      <c r="AX42" s="5">
        <v>12.191991511459829</v>
      </c>
      <c r="AY42" s="6">
        <v>4681346</v>
      </c>
      <c r="AZ42" s="3">
        <v>648</v>
      </c>
      <c r="BA42" s="5">
        <v>13.842172742625731</v>
      </c>
      <c r="BB42" s="6">
        <v>4673673</v>
      </c>
      <c r="BC42" s="3">
        <v>653</v>
      </c>
      <c r="BD42" s="5">
        <v>13.971880360478792</v>
      </c>
      <c r="BE42" s="6">
        <v>4664450</v>
      </c>
      <c r="BF42" s="3">
        <v>598</v>
      </c>
      <c r="BG42" s="5">
        <v>12.820375392597199</v>
      </c>
      <c r="BH42" s="6">
        <v>4658285</v>
      </c>
      <c r="BI42" s="3">
        <v>650</v>
      </c>
      <c r="BJ42" s="5">
        <v>13.953633150397627</v>
      </c>
      <c r="BK42" s="6">
        <v>4649000</v>
      </c>
      <c r="BL42" s="3">
        <v>870</v>
      </c>
      <c r="BM42" s="5">
        <f t="shared" si="1"/>
        <v>18.713701871370187</v>
      </c>
    </row>
    <row r="43" spans="1:65" x14ac:dyDescent="0.3">
      <c r="A43" s="3" t="s">
        <v>104</v>
      </c>
      <c r="B43" s="3" t="s">
        <v>94</v>
      </c>
      <c r="C43" s="4">
        <v>2848353</v>
      </c>
      <c r="D43" s="3">
        <v>311</v>
      </c>
      <c r="E43" s="5">
        <v>10.918590497736762</v>
      </c>
      <c r="F43" s="4">
        <v>2852994</v>
      </c>
      <c r="G43" s="3">
        <v>325</v>
      </c>
      <c r="H43" s="5">
        <v>11.391541657641062</v>
      </c>
      <c r="I43" s="4">
        <v>2858681</v>
      </c>
      <c r="J43" s="3">
        <v>302</v>
      </c>
      <c r="K43" s="5">
        <v>10.564312702256739</v>
      </c>
      <c r="L43" s="4">
        <v>2868312</v>
      </c>
      <c r="M43" s="3">
        <v>300</v>
      </c>
      <c r="N43" s="5">
        <v>10.459113234543523</v>
      </c>
      <c r="O43" s="4">
        <v>2889010</v>
      </c>
      <c r="P43" s="3">
        <v>281</v>
      </c>
      <c r="Q43" s="5">
        <v>9.7265153114734808</v>
      </c>
      <c r="R43" s="4">
        <v>2905943</v>
      </c>
      <c r="S43" s="3">
        <v>253</v>
      </c>
      <c r="T43" s="5">
        <v>8.7062960285181106</v>
      </c>
      <c r="U43" s="4">
        <v>2904978</v>
      </c>
      <c r="V43" s="3">
        <v>317</v>
      </c>
      <c r="W43" s="5">
        <v>10.912302950314944</v>
      </c>
      <c r="X43" s="4">
        <v>2928350</v>
      </c>
      <c r="Y43" s="3">
        <v>283</v>
      </c>
      <c r="Z43" s="5">
        <v>9.6641453378182263</v>
      </c>
      <c r="AA43" s="4">
        <v>2947806</v>
      </c>
      <c r="AB43" s="3">
        <v>329</v>
      </c>
      <c r="AC43" s="5">
        <v>11.160843013414045</v>
      </c>
      <c r="AD43" s="4">
        <v>2958774</v>
      </c>
      <c r="AE43" s="3">
        <v>275</v>
      </c>
      <c r="AF43" s="5">
        <v>9.294390176471742</v>
      </c>
      <c r="AG43" s="6">
        <v>2970615</v>
      </c>
      <c r="AH43" s="3">
        <v>282</v>
      </c>
      <c r="AI43" s="5">
        <v>9.4929837760867706</v>
      </c>
      <c r="AJ43" s="6">
        <v>2979147</v>
      </c>
      <c r="AK43" s="3">
        <v>310</v>
      </c>
      <c r="AL43" s="5">
        <v>10.405663097524224</v>
      </c>
      <c r="AM43" s="6">
        <v>2984599</v>
      </c>
      <c r="AN43" s="3">
        <v>291</v>
      </c>
      <c r="AO43" s="5">
        <v>9.7500535247783695</v>
      </c>
      <c r="AP43" s="6">
        <v>2989839</v>
      </c>
      <c r="AQ43" s="3">
        <v>288</v>
      </c>
      <c r="AR43" s="5">
        <v>9.6326257032569309</v>
      </c>
      <c r="AS43" s="6">
        <v>2991892</v>
      </c>
      <c r="AT43" s="3">
        <v>332</v>
      </c>
      <c r="AU43" s="5">
        <v>11.096657232279775</v>
      </c>
      <c r="AV43" s="6">
        <v>2990231</v>
      </c>
      <c r="AW43" s="3">
        <v>325</v>
      </c>
      <c r="AX43" s="5">
        <v>10.868725526556309</v>
      </c>
      <c r="AY43" s="6">
        <v>2990595</v>
      </c>
      <c r="AZ43" s="3">
        <v>345</v>
      </c>
      <c r="BA43" s="5">
        <v>11.536165880033906</v>
      </c>
      <c r="BB43" s="6">
        <v>2990674</v>
      </c>
      <c r="BC43" s="3">
        <v>360</v>
      </c>
      <c r="BD43" s="5">
        <v>12.037420327324208</v>
      </c>
      <c r="BE43" s="6">
        <v>2982879</v>
      </c>
      <c r="BF43" s="3">
        <v>382</v>
      </c>
      <c r="BG43" s="5">
        <v>12.806419569818287</v>
      </c>
      <c r="BH43" s="6">
        <v>2978227</v>
      </c>
      <c r="BI43" s="3">
        <v>434</v>
      </c>
      <c r="BJ43" s="5">
        <v>14.572428495208728</v>
      </c>
      <c r="BK43" s="6">
        <v>2976000</v>
      </c>
      <c r="BL43" s="3">
        <v>575</v>
      </c>
      <c r="BM43" s="5">
        <f t="shared" si="1"/>
        <v>19.321236559139784</v>
      </c>
    </row>
    <row r="44" spans="1:65" x14ac:dyDescent="0.3">
      <c r="A44" s="3" t="s">
        <v>105</v>
      </c>
      <c r="B44" s="3" t="s">
        <v>94</v>
      </c>
      <c r="C44" s="4">
        <v>5607285</v>
      </c>
      <c r="D44" s="3">
        <v>393</v>
      </c>
      <c r="E44" s="5">
        <v>7.0087395236732215</v>
      </c>
      <c r="F44" s="4">
        <v>5641142</v>
      </c>
      <c r="G44" s="3">
        <v>430</v>
      </c>
      <c r="H44" s="5">
        <v>7.6225700398961767</v>
      </c>
      <c r="I44" s="4">
        <v>5674825</v>
      </c>
      <c r="J44" s="3">
        <v>362</v>
      </c>
      <c r="K44" s="5">
        <v>6.3790513363848227</v>
      </c>
      <c r="L44" s="4">
        <v>5709403</v>
      </c>
      <c r="M44" s="3">
        <v>318</v>
      </c>
      <c r="N44" s="5">
        <v>5.5697592200095176</v>
      </c>
      <c r="O44" s="4">
        <v>5747741</v>
      </c>
      <c r="P44" s="3">
        <v>363</v>
      </c>
      <c r="Q44" s="5">
        <v>6.3155246556864686</v>
      </c>
      <c r="R44" s="4">
        <v>5790300</v>
      </c>
      <c r="S44" s="3">
        <v>410</v>
      </c>
      <c r="T44" s="5">
        <v>7.0808075574667972</v>
      </c>
      <c r="U44" s="4">
        <v>5842704</v>
      </c>
      <c r="V44" s="3">
        <v>405</v>
      </c>
      <c r="W44" s="5">
        <v>6.9317220245968301</v>
      </c>
      <c r="X44" s="4">
        <v>5887612</v>
      </c>
      <c r="Y44" s="3">
        <v>379</v>
      </c>
      <c r="Z44" s="5">
        <v>6.4372448456182241</v>
      </c>
      <c r="AA44" s="4">
        <v>5923916</v>
      </c>
      <c r="AB44" s="3">
        <v>470</v>
      </c>
      <c r="AC44" s="5">
        <v>7.9339409944367878</v>
      </c>
      <c r="AD44" s="4">
        <v>5961088</v>
      </c>
      <c r="AE44" s="3">
        <v>421</v>
      </c>
      <c r="AF44" s="5">
        <v>7.0624691331515317</v>
      </c>
      <c r="AG44" s="6">
        <v>5996089</v>
      </c>
      <c r="AH44" s="3">
        <v>432</v>
      </c>
      <c r="AI44" s="5">
        <v>7.2046962611795786</v>
      </c>
      <c r="AJ44" s="6">
        <v>6011182</v>
      </c>
      <c r="AK44" s="3">
        <v>417</v>
      </c>
      <c r="AL44" s="5">
        <v>6.9370716108745336</v>
      </c>
      <c r="AM44" s="6">
        <v>6026027</v>
      </c>
      <c r="AN44" s="3">
        <v>418</v>
      </c>
      <c r="AO44" s="5">
        <v>6.9365769519452867</v>
      </c>
      <c r="AP44" s="6">
        <v>6042989</v>
      </c>
      <c r="AQ44" s="3">
        <v>385</v>
      </c>
      <c r="AR44" s="5">
        <v>6.3710193746836215</v>
      </c>
      <c r="AS44" s="6">
        <v>6059130</v>
      </c>
      <c r="AT44" s="3">
        <v>441</v>
      </c>
      <c r="AU44" s="5">
        <v>7.2782726232974033</v>
      </c>
      <c r="AV44" s="6">
        <v>6075411</v>
      </c>
      <c r="AW44" s="3">
        <v>547</v>
      </c>
      <c r="AX44" s="5">
        <v>9.0035061002457279</v>
      </c>
      <c r="AY44" s="6">
        <v>6091384</v>
      </c>
      <c r="AZ44" s="3">
        <v>570</v>
      </c>
      <c r="BA44" s="5">
        <v>9.3574793511622314</v>
      </c>
      <c r="BB44" s="6">
        <v>6111382</v>
      </c>
      <c r="BC44" s="3">
        <v>655</v>
      </c>
      <c r="BD44" s="5">
        <v>10.717706731472521</v>
      </c>
      <c r="BE44" s="6">
        <v>6125986</v>
      </c>
      <c r="BF44" s="3">
        <v>658</v>
      </c>
      <c r="BG44" s="5">
        <v>10.741128040449325</v>
      </c>
      <c r="BH44" s="6">
        <v>6140475</v>
      </c>
      <c r="BI44" s="3">
        <v>628</v>
      </c>
      <c r="BJ44" s="5">
        <v>10.227221835444327</v>
      </c>
      <c r="BK44" s="6">
        <v>6137000</v>
      </c>
      <c r="BL44" s="3">
        <v>799</v>
      </c>
      <c r="BM44" s="5">
        <f t="shared" si="1"/>
        <v>13.019390581717451</v>
      </c>
    </row>
    <row r="45" spans="1:65" x14ac:dyDescent="0.3">
      <c r="A45" s="3" t="s">
        <v>106</v>
      </c>
      <c r="B45" s="3" t="s">
        <v>94</v>
      </c>
      <c r="C45" s="4">
        <v>903773</v>
      </c>
      <c r="D45" s="3">
        <v>35</v>
      </c>
      <c r="E45" s="5">
        <v>3.8726538633041701</v>
      </c>
      <c r="F45" s="4">
        <v>906961</v>
      </c>
      <c r="G45" s="3">
        <v>31</v>
      </c>
      <c r="H45" s="5">
        <v>3.4180080510628352</v>
      </c>
      <c r="I45" s="4">
        <v>911667</v>
      </c>
      <c r="J45" s="3">
        <v>23</v>
      </c>
      <c r="K45" s="5">
        <v>2.5228509971294342</v>
      </c>
      <c r="L45" s="4">
        <v>919630</v>
      </c>
      <c r="M45" s="3">
        <v>37</v>
      </c>
      <c r="N45" s="5">
        <v>4.0233572197514214</v>
      </c>
      <c r="O45" s="4">
        <v>930009</v>
      </c>
      <c r="P45" s="3">
        <v>25</v>
      </c>
      <c r="Q45" s="5">
        <v>2.6881460286943462</v>
      </c>
      <c r="R45" s="4">
        <v>940102</v>
      </c>
      <c r="S45" s="3">
        <v>32</v>
      </c>
      <c r="T45" s="5">
        <v>3.4038859613105812</v>
      </c>
      <c r="U45" s="4">
        <v>952692</v>
      </c>
      <c r="V45" s="3">
        <v>35</v>
      </c>
      <c r="W45" s="5">
        <v>3.6738001368752964</v>
      </c>
      <c r="X45" s="4">
        <v>964706</v>
      </c>
      <c r="Y45" s="3">
        <v>24</v>
      </c>
      <c r="Z45" s="5">
        <v>2.4878045746579787</v>
      </c>
      <c r="AA45" s="4">
        <v>976415</v>
      </c>
      <c r="AB45" s="3">
        <v>40</v>
      </c>
      <c r="AC45" s="5">
        <v>4.0966187532964984</v>
      </c>
      <c r="AD45" s="4">
        <v>983982</v>
      </c>
      <c r="AE45" s="3">
        <v>35</v>
      </c>
      <c r="AF45" s="5">
        <v>3.5569756357331737</v>
      </c>
      <c r="AG45" s="6">
        <v>990730</v>
      </c>
      <c r="AH45" s="3">
        <v>28</v>
      </c>
      <c r="AI45" s="5">
        <v>2.826198863464314</v>
      </c>
      <c r="AJ45" s="6">
        <v>997518</v>
      </c>
      <c r="AK45" s="3">
        <v>26</v>
      </c>
      <c r="AL45" s="5">
        <v>2.6064692566951173</v>
      </c>
      <c r="AM45" s="6">
        <v>1004168</v>
      </c>
      <c r="AN45" s="3">
        <v>24</v>
      </c>
      <c r="AO45" s="5">
        <v>2.3900383202810684</v>
      </c>
      <c r="AP45" s="6">
        <v>1014158</v>
      </c>
      <c r="AQ45" s="3">
        <v>33</v>
      </c>
      <c r="AR45" s="5">
        <v>3.2539308470672226</v>
      </c>
      <c r="AS45" s="6">
        <v>1022657</v>
      </c>
      <c r="AT45" s="3">
        <v>30</v>
      </c>
      <c r="AU45" s="5">
        <v>2.9335348997757804</v>
      </c>
      <c r="AV45" s="6">
        <v>1031495</v>
      </c>
      <c r="AW45" s="3">
        <v>38</v>
      </c>
      <c r="AX45" s="5">
        <v>3.6839732621098502</v>
      </c>
      <c r="AY45" s="6">
        <v>1042137</v>
      </c>
      <c r="AZ45" s="3">
        <v>42</v>
      </c>
      <c r="BA45" s="5">
        <v>4.0301802929941077</v>
      </c>
      <c r="BB45" s="6">
        <v>1053862</v>
      </c>
      <c r="BC45" s="3">
        <v>42</v>
      </c>
      <c r="BD45" s="5">
        <v>3.9853415342805794</v>
      </c>
      <c r="BE45" s="6">
        <v>1061818</v>
      </c>
      <c r="BF45" s="3">
        <v>42</v>
      </c>
      <c r="BG45" s="5">
        <v>3.9554801293630359</v>
      </c>
      <c r="BH45" s="6">
        <v>1070123</v>
      </c>
      <c r="BI45" s="3">
        <v>39</v>
      </c>
      <c r="BJ45" s="5">
        <v>3.6444408726847288</v>
      </c>
      <c r="BK45" s="6">
        <v>1080577</v>
      </c>
      <c r="BL45" s="3">
        <v>65</v>
      </c>
      <c r="BM45" s="5">
        <f t="shared" si="1"/>
        <v>6.0153047862392039</v>
      </c>
    </row>
    <row r="46" spans="1:65" x14ac:dyDescent="0.3">
      <c r="A46" s="3" t="s">
        <v>107</v>
      </c>
      <c r="B46" s="3" t="s">
        <v>94</v>
      </c>
      <c r="C46" s="4">
        <v>1713820</v>
      </c>
      <c r="D46" s="3">
        <v>64</v>
      </c>
      <c r="E46" s="5">
        <v>3.7343478311607985</v>
      </c>
      <c r="F46" s="4">
        <v>1719836</v>
      </c>
      <c r="G46" s="3">
        <v>44</v>
      </c>
      <c r="H46" s="5">
        <v>2.5583834737730808</v>
      </c>
      <c r="I46" s="4">
        <v>1728292</v>
      </c>
      <c r="J46" s="3">
        <v>50</v>
      </c>
      <c r="K46" s="5">
        <v>2.8930296500822776</v>
      </c>
      <c r="L46" s="4">
        <v>1738643</v>
      </c>
      <c r="M46" s="3">
        <v>62</v>
      </c>
      <c r="N46" s="5">
        <v>3.5659994604987912</v>
      </c>
      <c r="O46" s="4">
        <v>1749370</v>
      </c>
      <c r="P46" s="3">
        <v>39</v>
      </c>
      <c r="Q46" s="5">
        <v>2.2293740032125853</v>
      </c>
      <c r="R46" s="4">
        <v>1761497</v>
      </c>
      <c r="S46" s="3">
        <v>42</v>
      </c>
      <c r="T46" s="5">
        <v>2.3843355963705872</v>
      </c>
      <c r="U46" s="4">
        <v>1772693</v>
      </c>
      <c r="V46" s="3">
        <v>55</v>
      </c>
      <c r="W46" s="5">
        <v>3.1026240866297776</v>
      </c>
      <c r="X46" s="4">
        <v>1783440</v>
      </c>
      <c r="Y46" s="3">
        <v>71</v>
      </c>
      <c r="Z46" s="5">
        <v>3.9810702911227738</v>
      </c>
      <c r="AA46" s="4">
        <v>1796378</v>
      </c>
      <c r="AB46" s="3">
        <v>78</v>
      </c>
      <c r="AC46" s="5">
        <v>4.3420705441727749</v>
      </c>
      <c r="AD46" s="4">
        <v>1812683</v>
      </c>
      <c r="AE46" s="3">
        <v>48</v>
      </c>
      <c r="AF46" s="5">
        <v>2.648008504520647</v>
      </c>
      <c r="AG46" s="6">
        <v>1829591</v>
      </c>
      <c r="AH46" s="3">
        <v>60</v>
      </c>
      <c r="AI46" s="5">
        <v>3.2794214663277201</v>
      </c>
      <c r="AJ46" s="6">
        <v>1840914</v>
      </c>
      <c r="AK46" s="3">
        <v>66</v>
      </c>
      <c r="AL46" s="5">
        <v>3.5851756247168525</v>
      </c>
      <c r="AM46" s="6">
        <v>1853691</v>
      </c>
      <c r="AN46" s="3">
        <v>64</v>
      </c>
      <c r="AO46" s="5">
        <v>3.4525711135243147</v>
      </c>
      <c r="AP46" s="6">
        <v>1865813</v>
      </c>
      <c r="AQ46" s="3">
        <v>74</v>
      </c>
      <c r="AR46" s="5">
        <v>3.9660994965733436</v>
      </c>
      <c r="AS46" s="6">
        <v>1879955</v>
      </c>
      <c r="AT46" s="3">
        <v>63</v>
      </c>
      <c r="AU46" s="5">
        <v>3.351144043341463</v>
      </c>
      <c r="AV46" s="6">
        <v>1892059</v>
      </c>
      <c r="AW46" s="3">
        <v>75</v>
      </c>
      <c r="AX46" s="5">
        <v>3.9639355855182106</v>
      </c>
      <c r="AY46" s="6">
        <v>1906483</v>
      </c>
      <c r="AZ46" s="3">
        <v>60</v>
      </c>
      <c r="BA46" s="5">
        <v>3.1471563082387828</v>
      </c>
      <c r="BB46" s="6">
        <v>1916998</v>
      </c>
      <c r="BC46" s="3">
        <v>50</v>
      </c>
      <c r="BD46" s="5">
        <v>2.6082447660352281</v>
      </c>
      <c r="BE46" s="6">
        <v>1925512</v>
      </c>
      <c r="BF46" s="3">
        <v>35</v>
      </c>
      <c r="BG46" s="5">
        <v>1.8176983576316323</v>
      </c>
      <c r="BH46" s="6">
        <v>1932571</v>
      </c>
      <c r="BI46" s="3">
        <v>58</v>
      </c>
      <c r="BJ46" s="5">
        <v>3.0011833976604225</v>
      </c>
      <c r="BK46" s="6">
        <v>1961504</v>
      </c>
      <c r="BL46" s="3">
        <v>76</v>
      </c>
      <c r="BM46" s="5">
        <f t="shared" si="1"/>
        <v>3.874577874936783</v>
      </c>
    </row>
    <row r="47" spans="1:65" x14ac:dyDescent="0.3">
      <c r="A47" s="3" t="s">
        <v>108</v>
      </c>
      <c r="B47" s="3" t="s">
        <v>94</v>
      </c>
      <c r="C47" s="4">
        <v>8081614</v>
      </c>
      <c r="D47" s="3">
        <v>654</v>
      </c>
      <c r="E47" s="5">
        <v>8.0924429204364383</v>
      </c>
      <c r="F47" s="4">
        <v>8210122</v>
      </c>
      <c r="G47" s="3">
        <v>596</v>
      </c>
      <c r="H47" s="5">
        <v>7.2593318345330307</v>
      </c>
      <c r="I47" s="4">
        <v>8326201</v>
      </c>
      <c r="J47" s="3">
        <v>641</v>
      </c>
      <c r="K47" s="5">
        <v>7.6985890684118727</v>
      </c>
      <c r="L47" s="4">
        <v>8422501</v>
      </c>
      <c r="M47" s="3">
        <v>593</v>
      </c>
      <c r="N47" s="5">
        <v>7.0406640497875861</v>
      </c>
      <c r="O47" s="4">
        <v>8553152</v>
      </c>
      <c r="P47" s="3">
        <v>606</v>
      </c>
      <c r="Q47" s="5">
        <v>7.0851073382070142</v>
      </c>
      <c r="R47" s="4">
        <v>8705407</v>
      </c>
      <c r="S47" s="3">
        <v>660</v>
      </c>
      <c r="T47" s="5">
        <v>7.5814950409555815</v>
      </c>
      <c r="U47" s="4">
        <v>8917270</v>
      </c>
      <c r="V47" s="3">
        <v>619</v>
      </c>
      <c r="W47" s="5">
        <v>6.9415863823793611</v>
      </c>
      <c r="X47" s="4">
        <v>9118037</v>
      </c>
      <c r="Y47" s="3">
        <v>668</v>
      </c>
      <c r="Z47" s="5">
        <v>7.3261382905114329</v>
      </c>
      <c r="AA47" s="4">
        <v>9309449</v>
      </c>
      <c r="AB47" s="3">
        <v>664</v>
      </c>
      <c r="AC47" s="5">
        <v>7.1325381341043919</v>
      </c>
      <c r="AD47" s="4">
        <v>9449566</v>
      </c>
      <c r="AE47" s="3">
        <v>556</v>
      </c>
      <c r="AF47" s="5">
        <v>5.8838681056886637</v>
      </c>
      <c r="AG47" s="6">
        <v>9574586</v>
      </c>
      <c r="AH47" s="3">
        <v>533</v>
      </c>
      <c r="AI47" s="5">
        <v>5.5668203304038419</v>
      </c>
      <c r="AJ47" s="6">
        <v>9658913</v>
      </c>
      <c r="AK47" s="3">
        <v>532</v>
      </c>
      <c r="AL47" s="5">
        <v>5.5078661542970719</v>
      </c>
      <c r="AM47" s="6">
        <v>9751810</v>
      </c>
      <c r="AN47" s="3">
        <v>564</v>
      </c>
      <c r="AO47" s="5">
        <v>5.783541721998275</v>
      </c>
      <c r="AP47" s="6">
        <v>9846717</v>
      </c>
      <c r="AQ47" s="3">
        <v>557</v>
      </c>
      <c r="AR47" s="5">
        <v>5.6567077128346428</v>
      </c>
      <c r="AS47" s="6">
        <v>9937295</v>
      </c>
      <c r="AT47" s="3">
        <v>551</v>
      </c>
      <c r="AU47" s="5">
        <v>5.5447684706954963</v>
      </c>
      <c r="AV47" s="6">
        <v>10037218</v>
      </c>
      <c r="AW47" s="3">
        <v>593</v>
      </c>
      <c r="AX47" s="5">
        <v>5.9080115625664398</v>
      </c>
      <c r="AY47" s="6">
        <v>10161802</v>
      </c>
      <c r="AZ47" s="3">
        <v>735</v>
      </c>
      <c r="BA47" s="5">
        <v>7.232969113155324</v>
      </c>
      <c r="BB47" s="6">
        <v>10275758</v>
      </c>
      <c r="BC47" s="3">
        <v>679</v>
      </c>
      <c r="BD47" s="5">
        <v>6.6077850412592438</v>
      </c>
      <c r="BE47" s="6">
        <v>10391358</v>
      </c>
      <c r="BF47" s="3">
        <v>647</v>
      </c>
      <c r="BG47" s="5">
        <v>6.2263276849859279</v>
      </c>
      <c r="BH47" s="6">
        <v>10501384</v>
      </c>
      <c r="BI47" s="3">
        <v>707</v>
      </c>
      <c r="BJ47" s="5">
        <v>6.7324459328408528</v>
      </c>
      <c r="BK47" s="6">
        <v>10490000</v>
      </c>
      <c r="BL47" s="3">
        <v>878</v>
      </c>
      <c r="BM47" s="5">
        <f t="shared" si="1"/>
        <v>8.3698760724499515</v>
      </c>
    </row>
    <row r="48" spans="1:65" x14ac:dyDescent="0.3">
      <c r="A48" s="3" t="s">
        <v>109</v>
      </c>
      <c r="B48" s="3" t="s">
        <v>94</v>
      </c>
      <c r="C48" s="4">
        <v>642023</v>
      </c>
      <c r="D48" s="3">
        <v>12</v>
      </c>
      <c r="E48" s="5">
        <v>1.8690919172677614</v>
      </c>
      <c r="F48" s="4">
        <v>639062</v>
      </c>
      <c r="G48" s="3">
        <v>7</v>
      </c>
      <c r="H48" s="5">
        <f>(G48/F48)*100000</f>
        <v>1.0953553802291485</v>
      </c>
      <c r="I48" s="4">
        <v>638168</v>
      </c>
      <c r="J48" s="3">
        <v>5</v>
      </c>
      <c r="K48" s="5">
        <f>(J48/I48)*100000</f>
        <v>0.78349274799112456</v>
      </c>
      <c r="L48" s="4">
        <v>638817</v>
      </c>
      <c r="M48" s="3">
        <v>12</v>
      </c>
      <c r="N48" s="5">
        <v>1.8784722385284049</v>
      </c>
      <c r="O48" s="4">
        <v>644705</v>
      </c>
      <c r="P48" s="3">
        <v>10</v>
      </c>
      <c r="Q48" s="5">
        <v>1.5510970133627009</v>
      </c>
      <c r="R48" s="4">
        <v>646089</v>
      </c>
      <c r="S48" s="3">
        <v>11</v>
      </c>
      <c r="T48" s="5">
        <v>1.7025518156167341</v>
      </c>
      <c r="U48" s="4">
        <v>649422</v>
      </c>
      <c r="V48" s="3">
        <v>11</v>
      </c>
      <c r="W48" s="5">
        <v>1.6938138837304557</v>
      </c>
      <c r="X48" s="4">
        <v>652822</v>
      </c>
      <c r="Y48" s="3">
        <v>14</v>
      </c>
      <c r="Z48" s="5">
        <v>2.1445355701860538</v>
      </c>
      <c r="AA48" s="4">
        <v>657569</v>
      </c>
      <c r="AB48" s="3">
        <v>3</v>
      </c>
      <c r="AC48" s="5">
        <f>(AB48/AA48)*100000</f>
        <v>0.45622588656095409</v>
      </c>
      <c r="AD48" s="4">
        <v>664968</v>
      </c>
      <c r="AE48" s="3">
        <v>14</v>
      </c>
      <c r="AF48" s="5">
        <v>2.1053644686661612</v>
      </c>
      <c r="AG48" s="6">
        <v>674752</v>
      </c>
      <c r="AH48" s="3">
        <v>14</v>
      </c>
      <c r="AI48" s="5">
        <v>2.0748363843308355</v>
      </c>
      <c r="AJ48" s="6">
        <v>685526</v>
      </c>
      <c r="AK48" s="3">
        <v>17</v>
      </c>
      <c r="AL48" s="5">
        <v>2.4798475914844951</v>
      </c>
      <c r="AM48" s="6">
        <v>702227</v>
      </c>
      <c r="AN48" s="3">
        <v>16</v>
      </c>
      <c r="AO48" s="5">
        <v>2.2784655104403564</v>
      </c>
      <c r="AP48" s="6">
        <v>723149</v>
      </c>
      <c r="AQ48" s="3">
        <v>13</v>
      </c>
      <c r="AR48" s="5">
        <v>1.7976931448429023</v>
      </c>
      <c r="AS48" s="6">
        <v>738736</v>
      </c>
      <c r="AT48" s="3">
        <v>15</v>
      </c>
      <c r="AU48" s="5">
        <v>2.0304953325680621</v>
      </c>
      <c r="AV48" s="6">
        <v>755537</v>
      </c>
      <c r="AW48" s="3">
        <v>22</v>
      </c>
      <c r="AX48" s="5">
        <v>2.9118362171541565</v>
      </c>
      <c r="AY48" s="6">
        <v>756114</v>
      </c>
      <c r="AZ48" s="3">
        <v>17</v>
      </c>
      <c r="BA48" s="5">
        <v>2.2483382135498085</v>
      </c>
      <c r="BB48" s="6">
        <v>756755</v>
      </c>
      <c r="BC48" s="3">
        <v>15</v>
      </c>
      <c r="BD48" s="5">
        <v>1.9821474585566001</v>
      </c>
      <c r="BE48" s="6">
        <v>760062</v>
      </c>
      <c r="BF48" s="3">
        <v>20</v>
      </c>
      <c r="BG48" s="5">
        <v>2.631364283440035</v>
      </c>
      <c r="BH48" s="6">
        <v>763724</v>
      </c>
      <c r="BI48" s="3">
        <v>21</v>
      </c>
      <c r="BJ48" s="5">
        <v>2.7496844409760595</v>
      </c>
      <c r="BK48" s="6">
        <v>779094</v>
      </c>
      <c r="BL48" s="3">
        <v>30</v>
      </c>
      <c r="BM48" s="5">
        <f t="shared" si="1"/>
        <v>3.8506264969310502</v>
      </c>
    </row>
    <row r="49" spans="1:66" x14ac:dyDescent="0.3">
      <c r="A49" s="3" t="s">
        <v>110</v>
      </c>
      <c r="B49" s="3" t="s">
        <v>94</v>
      </c>
      <c r="C49" s="4">
        <v>11363543</v>
      </c>
      <c r="D49" s="3">
        <v>457</v>
      </c>
      <c r="E49" s="5">
        <v>4.0216330417370703</v>
      </c>
      <c r="F49" s="4">
        <v>11387404</v>
      </c>
      <c r="G49" s="3">
        <v>510</v>
      </c>
      <c r="H49" s="5">
        <v>4.4786327068048166</v>
      </c>
      <c r="I49" s="4">
        <v>11407889</v>
      </c>
      <c r="J49" s="3">
        <v>546</v>
      </c>
      <c r="K49" s="5">
        <v>4.7861615764318879</v>
      </c>
      <c r="L49" s="4">
        <v>11434788</v>
      </c>
      <c r="M49" s="3">
        <v>515</v>
      </c>
      <c r="N49" s="5">
        <v>4.5038001579041085</v>
      </c>
      <c r="O49" s="4">
        <v>11452251</v>
      </c>
      <c r="P49" s="3">
        <v>550</v>
      </c>
      <c r="Q49" s="5">
        <v>4.8025492979502458</v>
      </c>
      <c r="R49" s="4">
        <v>11463320</v>
      </c>
      <c r="S49" s="3">
        <v>618</v>
      </c>
      <c r="T49" s="5">
        <v>5.3911083351071065</v>
      </c>
      <c r="U49" s="4">
        <v>11481213</v>
      </c>
      <c r="V49" s="3">
        <v>654</v>
      </c>
      <c r="W49" s="5">
        <v>5.6962622329191168</v>
      </c>
      <c r="X49" s="4">
        <v>11500468</v>
      </c>
      <c r="Y49" s="3">
        <v>628</v>
      </c>
      <c r="Z49" s="5">
        <v>5.4606473406125735</v>
      </c>
      <c r="AA49" s="4">
        <v>11515391</v>
      </c>
      <c r="AB49" s="3">
        <v>593</v>
      </c>
      <c r="AC49" s="5">
        <v>5.1496297433582585</v>
      </c>
      <c r="AD49" s="4">
        <v>11528896</v>
      </c>
      <c r="AE49" s="3">
        <v>533</v>
      </c>
      <c r="AF49" s="5">
        <v>4.6231659995892063</v>
      </c>
      <c r="AG49" s="6">
        <v>11539449</v>
      </c>
      <c r="AH49" s="3">
        <v>558</v>
      </c>
      <c r="AI49" s="5">
        <v>4.8355861705355254</v>
      </c>
      <c r="AJ49" s="6">
        <v>11545735</v>
      </c>
      <c r="AK49" s="3">
        <v>603</v>
      </c>
      <c r="AL49" s="5">
        <v>5.2227077791063108</v>
      </c>
      <c r="AM49" s="6">
        <v>11550971</v>
      </c>
      <c r="AN49" s="3">
        <v>619</v>
      </c>
      <c r="AO49" s="5">
        <v>5.358856844156219</v>
      </c>
      <c r="AP49" s="6">
        <v>11579692</v>
      </c>
      <c r="AQ49" s="3">
        <v>632</v>
      </c>
      <c r="AR49" s="5">
        <v>5.4578308300428029</v>
      </c>
      <c r="AS49" s="6">
        <v>11606573</v>
      </c>
      <c r="AT49" s="3">
        <v>578</v>
      </c>
      <c r="AU49" s="5">
        <v>4.979936799604844</v>
      </c>
      <c r="AV49" s="6">
        <v>11622315</v>
      </c>
      <c r="AW49" s="3">
        <v>669</v>
      </c>
      <c r="AX49" s="5">
        <v>5.7561681988485081</v>
      </c>
      <c r="AY49" s="6">
        <v>11640060</v>
      </c>
      <c r="AZ49" s="3">
        <v>721</v>
      </c>
      <c r="BA49" s="5">
        <v>6.19412614711608</v>
      </c>
      <c r="BB49" s="6">
        <v>11665706</v>
      </c>
      <c r="BC49" s="3">
        <v>828</v>
      </c>
      <c r="BD49" s="5">
        <v>7.0977273042883127</v>
      </c>
      <c r="BE49" s="6">
        <v>11680892</v>
      </c>
      <c r="BF49" s="3">
        <v>760</v>
      </c>
      <c r="BG49" s="5">
        <v>6.5063524258250141</v>
      </c>
      <c r="BH49" s="6">
        <v>11696507</v>
      </c>
      <c r="BI49" s="3">
        <v>724</v>
      </c>
      <c r="BJ49" s="5">
        <v>6.1898821588359665</v>
      </c>
      <c r="BK49" s="6">
        <v>11690000</v>
      </c>
      <c r="BL49" s="3">
        <v>994</v>
      </c>
      <c r="BM49" s="5">
        <f t="shared" si="1"/>
        <v>8.5029940119760479</v>
      </c>
    </row>
    <row r="50" spans="1:66" x14ac:dyDescent="0.3">
      <c r="A50" s="3" t="s">
        <v>111</v>
      </c>
      <c r="B50" s="3" t="s">
        <v>94</v>
      </c>
      <c r="C50" s="4">
        <v>3454365</v>
      </c>
      <c r="D50" s="3">
        <v>197</v>
      </c>
      <c r="E50" s="5">
        <v>5.7029294819742562</v>
      </c>
      <c r="F50" s="4">
        <v>3467100</v>
      </c>
      <c r="G50" s="3">
        <v>207</v>
      </c>
      <c r="H50" s="5">
        <v>5.9704075452106951</v>
      </c>
      <c r="I50" s="4">
        <v>3489080</v>
      </c>
      <c r="J50" s="3">
        <v>196</v>
      </c>
      <c r="K50" s="5">
        <v>5.6175266832517456</v>
      </c>
      <c r="L50" s="4">
        <v>3504892</v>
      </c>
      <c r="M50" s="3">
        <v>221</v>
      </c>
      <c r="N50" s="5">
        <v>6.305472465342727</v>
      </c>
      <c r="O50" s="4">
        <v>3525233</v>
      </c>
      <c r="P50" s="3">
        <v>221</v>
      </c>
      <c r="Q50" s="5">
        <v>6.2690891637517288</v>
      </c>
      <c r="R50" s="4">
        <v>3548597</v>
      </c>
      <c r="S50" s="3">
        <v>209</v>
      </c>
      <c r="T50" s="5">
        <v>5.8896516003366965</v>
      </c>
      <c r="U50" s="4">
        <v>3594090</v>
      </c>
      <c r="V50" s="3">
        <v>220</v>
      </c>
      <c r="W50" s="5">
        <v>6.1211600154698402</v>
      </c>
      <c r="X50" s="4">
        <v>3634349</v>
      </c>
      <c r="Y50" s="3">
        <v>247</v>
      </c>
      <c r="Z50" s="5">
        <v>6.7962653008833218</v>
      </c>
      <c r="AA50" s="4">
        <v>3668976</v>
      </c>
      <c r="AB50" s="3">
        <v>228</v>
      </c>
      <c r="AC50" s="5">
        <v>6.2142679592344017</v>
      </c>
      <c r="AD50" s="4">
        <v>3717572</v>
      </c>
      <c r="AE50" s="3">
        <v>242</v>
      </c>
      <c r="AF50" s="5">
        <v>6.5096250993928297</v>
      </c>
      <c r="AG50" s="6">
        <v>3760014</v>
      </c>
      <c r="AH50" s="3">
        <v>209</v>
      </c>
      <c r="AI50" s="5">
        <v>5.5584899417927698</v>
      </c>
      <c r="AJ50" s="6">
        <v>3788824</v>
      </c>
      <c r="AK50" s="3">
        <v>258</v>
      </c>
      <c r="AL50" s="5">
        <v>6.8095007844122613</v>
      </c>
      <c r="AM50" s="6">
        <v>3819320</v>
      </c>
      <c r="AN50" s="3">
        <v>268</v>
      </c>
      <c r="AO50" s="5">
        <v>7.0169558979085283</v>
      </c>
      <c r="AP50" s="6">
        <v>3853891</v>
      </c>
      <c r="AQ50" s="3">
        <v>256</v>
      </c>
      <c r="AR50" s="5">
        <v>6.6426372723047962</v>
      </c>
      <c r="AS50" s="6">
        <v>3879187</v>
      </c>
      <c r="AT50" s="3">
        <v>250</v>
      </c>
      <c r="AU50" s="5">
        <v>6.4446493556510687</v>
      </c>
      <c r="AV50" s="6">
        <v>3910518</v>
      </c>
      <c r="AW50" s="3">
        <v>324</v>
      </c>
      <c r="AX50" s="5">
        <v>8.2853473631882029</v>
      </c>
      <c r="AY50" s="6">
        <v>3928143</v>
      </c>
      <c r="AZ50" s="3">
        <v>322</v>
      </c>
      <c r="BA50" s="5">
        <v>8.197257584563495</v>
      </c>
      <c r="BB50" s="6">
        <v>3933602</v>
      </c>
      <c r="BC50" s="3">
        <v>318</v>
      </c>
      <c r="BD50" s="5">
        <v>8.0841935711848834</v>
      </c>
      <c r="BE50" s="6">
        <v>3943488</v>
      </c>
      <c r="BF50" s="3">
        <v>265</v>
      </c>
      <c r="BG50" s="5">
        <v>6.7199393024652281</v>
      </c>
      <c r="BH50" s="6">
        <v>3960676</v>
      </c>
      <c r="BI50" s="3">
        <v>333</v>
      </c>
      <c r="BJ50" s="5">
        <v>8.4076556628211954</v>
      </c>
      <c r="BK50" s="6">
        <v>3957000</v>
      </c>
      <c r="BL50" s="3">
        <v>340</v>
      </c>
      <c r="BM50" s="5">
        <f t="shared" si="1"/>
        <v>8.5923679555218602</v>
      </c>
    </row>
    <row r="51" spans="1:66" x14ac:dyDescent="0.3">
      <c r="A51" s="3" t="s">
        <v>112</v>
      </c>
      <c r="B51" s="3" t="s">
        <v>94</v>
      </c>
      <c r="C51" s="4">
        <v>4024223</v>
      </c>
      <c r="D51" s="3">
        <v>324</v>
      </c>
      <c r="E51" s="5">
        <v>8.0512436810783097</v>
      </c>
      <c r="F51" s="4">
        <v>4064995</v>
      </c>
      <c r="G51" s="3">
        <v>348</v>
      </c>
      <c r="H51" s="5">
        <v>8.5608961388636402</v>
      </c>
      <c r="I51" s="4">
        <v>4107795</v>
      </c>
      <c r="J51" s="3">
        <v>326</v>
      </c>
      <c r="K51" s="5">
        <v>7.9361311847353635</v>
      </c>
      <c r="L51" s="4">
        <v>4150297</v>
      </c>
      <c r="M51" s="3">
        <v>325</v>
      </c>
      <c r="N51" s="5">
        <v>7.8307648826096061</v>
      </c>
      <c r="O51" s="4">
        <v>4210921</v>
      </c>
      <c r="P51" s="3">
        <v>321</v>
      </c>
      <c r="Q51" s="5">
        <v>7.6230354357158454</v>
      </c>
      <c r="R51" s="4">
        <v>4270150</v>
      </c>
      <c r="S51" s="3">
        <v>332</v>
      </c>
      <c r="T51" s="5">
        <v>7.7749025209887241</v>
      </c>
      <c r="U51" s="4">
        <v>4357847</v>
      </c>
      <c r="V51" s="3">
        <v>388</v>
      </c>
      <c r="W51" s="5">
        <v>8.9034791721691917</v>
      </c>
      <c r="X51" s="4">
        <v>4444110</v>
      </c>
      <c r="Y51" s="3">
        <v>373</v>
      </c>
      <c r="Z51" s="5">
        <v>8.3931315831516322</v>
      </c>
      <c r="AA51" s="4">
        <v>4528996</v>
      </c>
      <c r="AB51" s="3">
        <v>354</v>
      </c>
      <c r="AC51" s="5">
        <v>7.8163018911917783</v>
      </c>
      <c r="AD51" s="4">
        <v>4589872</v>
      </c>
      <c r="AE51" s="3">
        <v>345</v>
      </c>
      <c r="AF51" s="5">
        <v>7.5165494811184272</v>
      </c>
      <c r="AG51" s="6">
        <v>4635846</v>
      </c>
      <c r="AH51" s="3">
        <v>320</v>
      </c>
      <c r="AI51" s="5">
        <v>6.9027314539784115</v>
      </c>
      <c r="AJ51" s="6">
        <v>4672655</v>
      </c>
      <c r="AK51" s="3">
        <v>352</v>
      </c>
      <c r="AL51" s="5">
        <v>7.5331904452607779</v>
      </c>
      <c r="AM51" s="6">
        <v>4719027</v>
      </c>
      <c r="AN51" s="3">
        <v>369</v>
      </c>
      <c r="AO51" s="5">
        <v>7.819408534852629</v>
      </c>
      <c r="AP51" s="6">
        <v>4766469</v>
      </c>
      <c r="AQ51" s="3">
        <v>315</v>
      </c>
      <c r="AR51" s="5">
        <v>6.6086656600514972</v>
      </c>
      <c r="AS51" s="6">
        <v>4826858</v>
      </c>
      <c r="AT51" s="3">
        <v>363</v>
      </c>
      <c r="AU51" s="5">
        <v>7.520420115942918</v>
      </c>
      <c r="AV51" s="6">
        <v>4896006</v>
      </c>
      <c r="AW51" s="3">
        <v>448</v>
      </c>
      <c r="AX51" s="5">
        <v>9.1503155837635806</v>
      </c>
      <c r="AY51" s="6">
        <v>4963031</v>
      </c>
      <c r="AZ51" s="3">
        <v>426</v>
      </c>
      <c r="BA51" s="5">
        <v>8.5834644192228495</v>
      </c>
      <c r="BB51" s="6">
        <v>5027102</v>
      </c>
      <c r="BC51" s="3">
        <v>444</v>
      </c>
      <c r="BD51" s="5">
        <v>8.8321263423737957</v>
      </c>
      <c r="BE51" s="6">
        <v>5091702</v>
      </c>
      <c r="BF51" s="3">
        <v>481</v>
      </c>
      <c r="BG51" s="5">
        <v>9.4467429554989675</v>
      </c>
      <c r="BH51" s="6">
        <v>5157702</v>
      </c>
      <c r="BI51" s="3">
        <v>527</v>
      </c>
      <c r="BJ51" s="5">
        <v>10.21772874819057</v>
      </c>
      <c r="BK51" s="6">
        <v>5149000</v>
      </c>
      <c r="BL51" s="3">
        <v>621</v>
      </c>
      <c r="BM51" s="5">
        <f t="shared" si="1"/>
        <v>12.060594290153428</v>
      </c>
    </row>
    <row r="52" spans="1:66" x14ac:dyDescent="0.3">
      <c r="A52" s="3" t="s">
        <v>113</v>
      </c>
      <c r="B52" s="3" t="s">
        <v>94</v>
      </c>
      <c r="C52" s="4">
        <v>755844</v>
      </c>
      <c r="D52" s="3">
        <v>14</v>
      </c>
      <c r="E52" s="5">
        <v>1.8522340588798747</v>
      </c>
      <c r="F52" s="4">
        <v>757972</v>
      </c>
      <c r="G52" s="3">
        <v>18</v>
      </c>
      <c r="H52" s="5">
        <v>2.3747579066245192</v>
      </c>
      <c r="I52" s="4">
        <v>760020</v>
      </c>
      <c r="J52" s="3">
        <v>20</v>
      </c>
      <c r="K52" s="5">
        <v>2.6315096971132337</v>
      </c>
      <c r="L52" s="4">
        <v>763729</v>
      </c>
      <c r="M52" s="3">
        <v>16</v>
      </c>
      <c r="N52" s="5">
        <v>2.0949839537322794</v>
      </c>
      <c r="O52" s="4">
        <v>770396</v>
      </c>
      <c r="P52" s="3">
        <v>24</v>
      </c>
      <c r="Q52" s="5">
        <v>3.1152809723830339</v>
      </c>
      <c r="R52" s="4">
        <v>775493</v>
      </c>
      <c r="S52" s="3">
        <v>21</v>
      </c>
      <c r="T52" s="5">
        <v>2.7079548106817213</v>
      </c>
      <c r="U52" s="4">
        <v>783033</v>
      </c>
      <c r="V52" s="3">
        <v>21</v>
      </c>
      <c r="W52" s="5">
        <v>2.681879307768638</v>
      </c>
      <c r="X52" s="4">
        <v>791623</v>
      </c>
      <c r="Y52" s="3">
        <v>15</v>
      </c>
      <c r="Z52" s="5">
        <v>1.8948413575654068</v>
      </c>
      <c r="AA52" s="4">
        <v>799124</v>
      </c>
      <c r="AB52" s="3">
        <v>20</v>
      </c>
      <c r="AC52" s="5">
        <v>2.5027405008484291</v>
      </c>
      <c r="AD52" s="4">
        <v>807067</v>
      </c>
      <c r="AE52" s="3">
        <v>29</v>
      </c>
      <c r="AF52" s="5">
        <v>3.5932580566421373</v>
      </c>
      <c r="AG52" s="6">
        <v>816193</v>
      </c>
      <c r="AH52" s="3">
        <v>17</v>
      </c>
      <c r="AI52" s="5">
        <v>2.082840700667612</v>
      </c>
      <c r="AJ52" s="6">
        <v>823740</v>
      </c>
      <c r="AK52" s="3">
        <v>24</v>
      </c>
      <c r="AL52" s="5">
        <v>2.913540680311749</v>
      </c>
      <c r="AM52" s="6">
        <v>833859</v>
      </c>
      <c r="AN52" s="3">
        <v>20</v>
      </c>
      <c r="AO52" s="5">
        <v>2.3984870343787139</v>
      </c>
      <c r="AP52" s="6">
        <v>842751</v>
      </c>
      <c r="AQ52" s="3">
        <v>20</v>
      </c>
      <c r="AR52" s="5">
        <v>2.3731802157458133</v>
      </c>
      <c r="AS52" s="6">
        <v>849670</v>
      </c>
      <c r="AT52" s="3">
        <v>26</v>
      </c>
      <c r="AU52" s="5">
        <v>3.0600115338896274</v>
      </c>
      <c r="AV52" s="6">
        <v>854663</v>
      </c>
      <c r="AW52" s="3">
        <v>35</v>
      </c>
      <c r="AX52" s="5">
        <v>4.0951813755831248</v>
      </c>
      <c r="AY52" s="6">
        <v>863693</v>
      </c>
      <c r="AZ52" s="3">
        <v>38</v>
      </c>
      <c r="BA52" s="5">
        <v>4.3997114715529708</v>
      </c>
      <c r="BB52" s="6">
        <v>873732</v>
      </c>
      <c r="BC52" s="3">
        <v>34</v>
      </c>
      <c r="BD52" s="5">
        <v>3.8913534127169433</v>
      </c>
      <c r="BE52" s="6">
        <v>879386</v>
      </c>
      <c r="BF52" s="3">
        <v>32</v>
      </c>
      <c r="BG52" s="5">
        <v>3.6389025979490235</v>
      </c>
      <c r="BH52" s="6">
        <v>887127</v>
      </c>
      <c r="BI52" s="3">
        <v>29</v>
      </c>
      <c r="BJ52" s="5">
        <v>3.2689795260430579</v>
      </c>
      <c r="BK52" s="6">
        <v>886667</v>
      </c>
      <c r="BL52" s="3">
        <v>52</v>
      </c>
      <c r="BM52" s="5">
        <f t="shared" si="1"/>
        <v>5.8646594493761475</v>
      </c>
    </row>
    <row r="53" spans="1:66" x14ac:dyDescent="0.3">
      <c r="A53" s="3" t="s">
        <v>114</v>
      </c>
      <c r="B53" s="3" t="s">
        <v>94</v>
      </c>
      <c r="C53" s="4">
        <v>5703719</v>
      </c>
      <c r="D53" s="3">
        <v>470</v>
      </c>
      <c r="E53" s="5">
        <v>8.2402376414406113</v>
      </c>
      <c r="F53" s="4">
        <v>5750789</v>
      </c>
      <c r="G53" s="3">
        <v>452</v>
      </c>
      <c r="H53" s="5">
        <v>7.8597910651912279</v>
      </c>
      <c r="I53" s="4">
        <v>5795918</v>
      </c>
      <c r="J53" s="3">
        <v>467</v>
      </c>
      <c r="K53" s="5">
        <v>8.0573948768771402</v>
      </c>
      <c r="L53" s="4">
        <v>5847812</v>
      </c>
      <c r="M53" s="3">
        <v>437</v>
      </c>
      <c r="N53" s="5">
        <v>7.4728804551172301</v>
      </c>
      <c r="O53" s="4">
        <v>5910809</v>
      </c>
      <c r="P53" s="3">
        <v>414</v>
      </c>
      <c r="Q53" s="5">
        <v>7.0041173720889986</v>
      </c>
      <c r="R53" s="4">
        <v>5991057</v>
      </c>
      <c r="S53" s="3">
        <v>485</v>
      </c>
      <c r="T53" s="5">
        <v>8.0953995263273235</v>
      </c>
      <c r="U53" s="4">
        <v>6088766</v>
      </c>
      <c r="V53" s="3">
        <v>482</v>
      </c>
      <c r="W53" s="5">
        <v>7.9162181630892032</v>
      </c>
      <c r="X53" s="4">
        <v>6175727</v>
      </c>
      <c r="Y53" s="3">
        <v>471</v>
      </c>
      <c r="Z53" s="5">
        <v>7.6266324596278299</v>
      </c>
      <c r="AA53" s="4">
        <v>6247411</v>
      </c>
      <c r="AB53" s="3">
        <v>473</v>
      </c>
      <c r="AC53" s="5">
        <v>7.571136267487443</v>
      </c>
      <c r="AD53" s="4">
        <v>6306019</v>
      </c>
      <c r="AE53" s="3">
        <v>492</v>
      </c>
      <c r="AF53" s="5">
        <v>7.8020697368656826</v>
      </c>
      <c r="AG53" s="6">
        <v>6355518</v>
      </c>
      <c r="AH53" s="3">
        <v>406</v>
      </c>
      <c r="AI53" s="5">
        <v>6.388149636268829</v>
      </c>
      <c r="AJ53" s="6">
        <v>6400298</v>
      </c>
      <c r="AK53" s="3">
        <v>439</v>
      </c>
      <c r="AL53" s="5">
        <v>6.8590556252224504</v>
      </c>
      <c r="AM53" s="6">
        <v>6455752</v>
      </c>
      <c r="AN53" s="3">
        <v>468</v>
      </c>
      <c r="AO53" s="5">
        <v>7.2493491075865366</v>
      </c>
      <c r="AP53" s="6">
        <v>6496943</v>
      </c>
      <c r="AQ53" s="3">
        <v>402</v>
      </c>
      <c r="AR53" s="5">
        <v>6.1875254254193086</v>
      </c>
      <c r="AS53" s="6">
        <v>6544617</v>
      </c>
      <c r="AT53" s="3">
        <v>417</v>
      </c>
      <c r="AU53" s="5">
        <v>6.3716486388737499</v>
      </c>
      <c r="AV53" s="6">
        <v>6595354</v>
      </c>
      <c r="AW53" s="3">
        <v>460</v>
      </c>
      <c r="AX53" s="5">
        <v>6.9746066700892779</v>
      </c>
      <c r="AY53" s="6">
        <v>6651277</v>
      </c>
      <c r="AZ53" s="3">
        <v>563</v>
      </c>
      <c r="BA53" s="5">
        <v>8.4645399672874841</v>
      </c>
      <c r="BB53" s="6">
        <v>6714748</v>
      </c>
      <c r="BC53" s="3">
        <v>557</v>
      </c>
      <c r="BD53" s="5">
        <v>8.29517354932754</v>
      </c>
      <c r="BE53" s="6">
        <v>6778180</v>
      </c>
      <c r="BF53" s="3">
        <v>604</v>
      </c>
      <c r="BG53" s="5">
        <v>8.9109465962839582</v>
      </c>
      <c r="BH53" s="6">
        <v>6830325</v>
      </c>
      <c r="BI53" s="3">
        <v>596</v>
      </c>
      <c r="BJ53" s="5">
        <v>8.7257926965407933</v>
      </c>
      <c r="BK53" s="6">
        <v>6886834</v>
      </c>
      <c r="BL53" s="3">
        <v>751</v>
      </c>
      <c r="BM53" s="5">
        <f t="shared" si="1"/>
        <v>10.904865719138867</v>
      </c>
    </row>
    <row r="54" spans="1:66" x14ac:dyDescent="0.3">
      <c r="A54" s="3" t="s">
        <v>115</v>
      </c>
      <c r="B54" s="3" t="s">
        <v>94</v>
      </c>
      <c r="C54" s="4">
        <v>20944499</v>
      </c>
      <c r="D54" s="3">
        <v>1303</v>
      </c>
      <c r="E54" s="5">
        <v>6.2212039543175521</v>
      </c>
      <c r="F54" s="4">
        <v>21319622</v>
      </c>
      <c r="G54" s="3">
        <v>1393</v>
      </c>
      <c r="H54" s="5">
        <v>6.5338869516542095</v>
      </c>
      <c r="I54" s="4">
        <v>21690325</v>
      </c>
      <c r="J54" s="3">
        <v>1406</v>
      </c>
      <c r="K54" s="5">
        <v>6.4821527570472082</v>
      </c>
      <c r="L54" s="4">
        <v>22030931</v>
      </c>
      <c r="M54" s="3">
        <v>1515</v>
      </c>
      <c r="N54" s="5">
        <v>6.8766953153273453</v>
      </c>
      <c r="O54" s="4">
        <v>22394023</v>
      </c>
      <c r="P54" s="3">
        <v>1401</v>
      </c>
      <c r="Q54" s="5">
        <v>6.2561336120803306</v>
      </c>
      <c r="R54" s="4">
        <v>22778123</v>
      </c>
      <c r="S54" s="3">
        <v>1482</v>
      </c>
      <c r="T54" s="5">
        <v>6.5062428541631805</v>
      </c>
      <c r="U54" s="4">
        <v>23359580</v>
      </c>
      <c r="V54" s="3">
        <v>1452</v>
      </c>
      <c r="W54" s="5">
        <v>6.2158651825075628</v>
      </c>
      <c r="X54" s="4">
        <v>23831983</v>
      </c>
      <c r="Y54" s="3">
        <v>1481</v>
      </c>
      <c r="Z54" s="5">
        <v>6.2143381018692407</v>
      </c>
      <c r="AA54" s="4">
        <v>24309039</v>
      </c>
      <c r="AB54" s="3">
        <v>1476</v>
      </c>
      <c r="AC54" s="5">
        <v>6.0718155086262362</v>
      </c>
      <c r="AD54" s="4">
        <v>24801761</v>
      </c>
      <c r="AE54" s="3">
        <v>1487</v>
      </c>
      <c r="AF54" s="5">
        <v>5.9955420101016212</v>
      </c>
      <c r="AG54" s="6">
        <v>25241897</v>
      </c>
      <c r="AH54" s="3">
        <v>1343</v>
      </c>
      <c r="AI54" s="5">
        <v>5.3205192937757415</v>
      </c>
      <c r="AJ54" s="6">
        <v>25645504</v>
      </c>
      <c r="AK54" s="3">
        <v>1251</v>
      </c>
      <c r="AL54" s="5">
        <v>4.8780480196450808</v>
      </c>
      <c r="AM54" s="6">
        <v>26084120</v>
      </c>
      <c r="AN54" s="3">
        <v>1304</v>
      </c>
      <c r="AO54" s="5">
        <v>4.9992102474609075</v>
      </c>
      <c r="AP54" s="6">
        <v>26479646</v>
      </c>
      <c r="AQ54" s="3">
        <v>1331</v>
      </c>
      <c r="AR54" s="5">
        <v>5.0265022425148738</v>
      </c>
      <c r="AS54" s="6">
        <v>26963092</v>
      </c>
      <c r="AT54" s="4">
        <v>1389</v>
      </c>
      <c r="AU54" s="5">
        <v>5.1514863354692411</v>
      </c>
      <c r="AV54" s="6">
        <v>27468531</v>
      </c>
      <c r="AW54" s="4">
        <v>1538</v>
      </c>
      <c r="AX54" s="5">
        <v>5.5991345150565204</v>
      </c>
      <c r="AY54" s="6">
        <v>27914064</v>
      </c>
      <c r="AZ54" s="4">
        <v>1669</v>
      </c>
      <c r="BA54" s="5">
        <v>5.9790648900138654</v>
      </c>
      <c r="BB54" s="6">
        <v>28291024</v>
      </c>
      <c r="BC54" s="4">
        <v>1653</v>
      </c>
      <c r="BD54" s="5">
        <v>5.8428425920532252</v>
      </c>
      <c r="BE54" s="6">
        <v>28624564</v>
      </c>
      <c r="BF54" s="3">
        <v>1557</v>
      </c>
      <c r="BG54" s="5">
        <v>5.4393841597028336</v>
      </c>
      <c r="BH54" s="6">
        <v>28986794</v>
      </c>
      <c r="BI54" s="3">
        <v>1694</v>
      </c>
      <c r="BJ54" s="5">
        <v>5.844040565507175</v>
      </c>
      <c r="BK54" s="6">
        <v>29000000</v>
      </c>
      <c r="BL54" s="3">
        <v>2189</v>
      </c>
      <c r="BM54" s="5">
        <f t="shared" si="1"/>
        <v>7.5482758620689658</v>
      </c>
    </row>
    <row r="55" spans="1:66" x14ac:dyDescent="0.3">
      <c r="A55" s="3" t="s">
        <v>116</v>
      </c>
      <c r="B55" s="3" t="s">
        <v>94</v>
      </c>
      <c r="C55" s="4">
        <v>2244502</v>
      </c>
      <c r="D55" s="3">
        <v>51</v>
      </c>
      <c r="E55" s="5">
        <v>2.2722189599296416</v>
      </c>
      <c r="F55" s="4">
        <v>2283715</v>
      </c>
      <c r="G55" s="3">
        <v>76</v>
      </c>
      <c r="H55" s="5">
        <v>3.3279108820496428</v>
      </c>
      <c r="I55" s="4">
        <v>2324815</v>
      </c>
      <c r="J55" s="3">
        <v>54</v>
      </c>
      <c r="K55" s="5">
        <v>2.3227654673597686</v>
      </c>
      <c r="L55" s="4">
        <v>2360137</v>
      </c>
      <c r="M55" s="3">
        <v>55</v>
      </c>
      <c r="N55" s="5">
        <v>2.3303731944374415</v>
      </c>
      <c r="O55" s="4">
        <v>2401580</v>
      </c>
      <c r="P55" s="3">
        <v>45</v>
      </c>
      <c r="Q55" s="5">
        <v>1.8737664370955789</v>
      </c>
      <c r="R55" s="4">
        <v>2457719</v>
      </c>
      <c r="S55" s="3">
        <v>63</v>
      </c>
      <c r="T55" s="5">
        <v>2.5633524418373295</v>
      </c>
      <c r="U55" s="4">
        <v>2525507</v>
      </c>
      <c r="V55" s="3">
        <v>52</v>
      </c>
      <c r="W55" s="5">
        <v>2.0589925112066605</v>
      </c>
      <c r="X55" s="4">
        <v>2597746</v>
      </c>
      <c r="Y55" s="3">
        <v>67</v>
      </c>
      <c r="Z55" s="5">
        <v>2.5791590093873689</v>
      </c>
      <c r="AA55" s="4">
        <v>2663029</v>
      </c>
      <c r="AB55" s="3">
        <v>45</v>
      </c>
      <c r="AC55" s="5">
        <v>1.6898051053893894</v>
      </c>
      <c r="AD55" s="4">
        <v>2723421</v>
      </c>
      <c r="AE55" s="3">
        <v>51</v>
      </c>
      <c r="AF55" s="5">
        <v>1.87264473616088</v>
      </c>
      <c r="AG55" s="6">
        <v>2775413</v>
      </c>
      <c r="AH55" s="3">
        <v>50</v>
      </c>
      <c r="AI55" s="5">
        <v>1.8015336816538656</v>
      </c>
      <c r="AJ55" s="6">
        <v>2814797</v>
      </c>
      <c r="AK55" s="3">
        <v>56</v>
      </c>
      <c r="AL55" s="5">
        <v>1.9894862755644545</v>
      </c>
      <c r="AM55" s="6">
        <v>2854146</v>
      </c>
      <c r="AN55" s="3">
        <v>46</v>
      </c>
      <c r="AO55" s="5">
        <v>1.6116905021677239</v>
      </c>
      <c r="AP55" s="6">
        <v>2898773</v>
      </c>
      <c r="AQ55" s="3">
        <v>51</v>
      </c>
      <c r="AR55" s="5">
        <v>1.7593650830886034</v>
      </c>
      <c r="AS55" s="6">
        <v>2938327</v>
      </c>
      <c r="AT55" s="3">
        <v>61</v>
      </c>
      <c r="AU55" s="5">
        <v>2.0760112812495</v>
      </c>
      <c r="AV55" s="6">
        <v>2983626</v>
      </c>
      <c r="AW55" s="3">
        <v>60</v>
      </c>
      <c r="AX55" s="5">
        <v>2.0109759064976642</v>
      </c>
      <c r="AY55" s="6">
        <v>3044241</v>
      </c>
      <c r="AZ55" s="3">
        <v>80</v>
      </c>
      <c r="BA55" s="5">
        <v>2.6279128360730968</v>
      </c>
      <c r="BB55" s="6">
        <v>3103540</v>
      </c>
      <c r="BC55" s="3">
        <v>79</v>
      </c>
      <c r="BD55" s="5">
        <v>2.5454803224704694</v>
      </c>
      <c r="BE55" s="6">
        <v>3155153</v>
      </c>
      <c r="BF55" s="3">
        <v>67</v>
      </c>
      <c r="BG55" s="5">
        <v>2.1235103337302506</v>
      </c>
      <c r="BH55" s="6">
        <v>3203383</v>
      </c>
      <c r="BI55" s="3">
        <v>82</v>
      </c>
      <c r="BJ55" s="5">
        <v>2.5597938179730613</v>
      </c>
      <c r="BK55" s="6">
        <v>3206000</v>
      </c>
      <c r="BL55" s="3">
        <v>94</v>
      </c>
      <c r="BM55" s="5">
        <f t="shared" si="1"/>
        <v>2.9320024953212727</v>
      </c>
    </row>
    <row r="56" spans="1:66" x14ac:dyDescent="0.3">
      <c r="A56" s="3" t="s">
        <v>117</v>
      </c>
      <c r="B56" s="3" t="s">
        <v>94</v>
      </c>
      <c r="C56" s="4">
        <v>1807021</v>
      </c>
      <c r="D56" s="3">
        <v>79</v>
      </c>
      <c r="E56" s="5">
        <v>4.3718362985266905</v>
      </c>
      <c r="F56" s="4">
        <v>1801481</v>
      </c>
      <c r="G56" s="3">
        <v>66</v>
      </c>
      <c r="H56" s="5">
        <v>3.6636522949728585</v>
      </c>
      <c r="I56" s="4">
        <v>1805414</v>
      </c>
      <c r="J56" s="3">
        <v>95</v>
      </c>
      <c r="K56" s="5">
        <v>5.2619509984967436</v>
      </c>
      <c r="L56" s="4">
        <v>1812295</v>
      </c>
      <c r="M56" s="3">
        <v>89</v>
      </c>
      <c r="N56" s="5">
        <v>4.9109002673405824</v>
      </c>
      <c r="O56" s="4">
        <v>1816438</v>
      </c>
      <c r="P56" s="3">
        <v>79</v>
      </c>
      <c r="Q56" s="5">
        <v>4.3491712901844162</v>
      </c>
      <c r="R56" s="4">
        <v>1820492</v>
      </c>
      <c r="S56" s="3">
        <v>92</v>
      </c>
      <c r="T56" s="5">
        <v>5.0535789226209173</v>
      </c>
      <c r="U56" s="4">
        <v>1827912</v>
      </c>
      <c r="V56" s="3">
        <v>92</v>
      </c>
      <c r="W56" s="5">
        <v>5.0330650490833255</v>
      </c>
      <c r="X56" s="4">
        <v>1834052</v>
      </c>
      <c r="Y56" s="3">
        <v>84</v>
      </c>
      <c r="Z56" s="5">
        <v>4.5800228128755345</v>
      </c>
      <c r="AA56" s="4">
        <v>1840310</v>
      </c>
      <c r="AB56" s="3">
        <v>70</v>
      </c>
      <c r="AC56" s="5">
        <v>3.8037069841494096</v>
      </c>
      <c r="AD56" s="4">
        <v>1847775</v>
      </c>
      <c r="AE56" s="3">
        <v>90</v>
      </c>
      <c r="AF56" s="5">
        <v>4.8707228964565497</v>
      </c>
      <c r="AG56" s="6">
        <v>1854265</v>
      </c>
      <c r="AH56" s="3">
        <v>86</v>
      </c>
      <c r="AI56" s="5">
        <v>4.6379562791726103</v>
      </c>
      <c r="AJ56" s="6">
        <v>1856606</v>
      </c>
      <c r="AK56" s="3">
        <v>99</v>
      </c>
      <c r="AL56" s="5">
        <v>5.3323106787331298</v>
      </c>
      <c r="AM56" s="6">
        <v>1857446</v>
      </c>
      <c r="AN56" s="3">
        <v>101</v>
      </c>
      <c r="AO56" s="5">
        <v>5.4375739590814485</v>
      </c>
      <c r="AP56" s="6">
        <v>1854768</v>
      </c>
      <c r="AQ56" s="3">
        <v>71</v>
      </c>
      <c r="AR56" s="5">
        <v>3.8279720159071107</v>
      </c>
      <c r="AS56" s="6">
        <v>1850569</v>
      </c>
      <c r="AT56" s="3">
        <v>103</v>
      </c>
      <c r="AU56" s="5">
        <v>5.5658556908712944</v>
      </c>
      <c r="AV56" s="6">
        <v>1843332</v>
      </c>
      <c r="AW56" s="3">
        <v>80</v>
      </c>
      <c r="AX56" s="5">
        <v>4.3399669728513368</v>
      </c>
      <c r="AY56" s="6">
        <v>1832435</v>
      </c>
      <c r="AZ56" s="3">
        <v>108</v>
      </c>
      <c r="BA56" s="5">
        <v>5.8937970514643085</v>
      </c>
      <c r="BB56" s="6">
        <v>1818683</v>
      </c>
      <c r="BC56" s="3">
        <v>112</v>
      </c>
      <c r="BD56" s="5">
        <v>6.1583024639258186</v>
      </c>
      <c r="BE56" s="6">
        <v>1805953</v>
      </c>
      <c r="BF56" s="3">
        <v>97</v>
      </c>
      <c r="BG56" s="5">
        <v>5.3711253836617008</v>
      </c>
      <c r="BH56" s="6">
        <v>1795263</v>
      </c>
      <c r="BI56" s="3">
        <v>92</v>
      </c>
      <c r="BJ56" s="5">
        <v>5.1245973431190857</v>
      </c>
      <c r="BK56" s="6">
        <v>1792000</v>
      </c>
      <c r="BL56" s="3">
        <v>114</v>
      </c>
      <c r="BM56" s="5">
        <f t="shared" si="1"/>
        <v>6.3616071428571423</v>
      </c>
    </row>
    <row r="57" spans="1:66" x14ac:dyDescent="0.3">
      <c r="A57" s="3" t="s">
        <v>118</v>
      </c>
      <c r="B57" s="3" t="s">
        <v>94</v>
      </c>
      <c r="C57" s="4">
        <v>494300</v>
      </c>
      <c r="D57" s="3">
        <v>10</v>
      </c>
      <c r="E57" s="5">
        <v>2.0230629172567269</v>
      </c>
      <c r="F57" s="4">
        <v>494657</v>
      </c>
      <c r="G57" s="3">
        <v>15</v>
      </c>
      <c r="H57" s="5">
        <v>3.0324042720511382</v>
      </c>
      <c r="I57" s="4">
        <v>500017</v>
      </c>
      <c r="J57" s="3">
        <v>23</v>
      </c>
      <c r="K57" s="5">
        <v>4.5998436053174192</v>
      </c>
      <c r="L57" s="4">
        <v>503453</v>
      </c>
      <c r="M57" s="3">
        <v>16</v>
      </c>
      <c r="N57" s="5">
        <v>3.1780523703304975</v>
      </c>
      <c r="O57" s="4">
        <v>509106</v>
      </c>
      <c r="P57" s="3">
        <v>19</v>
      </c>
      <c r="Q57" s="5">
        <v>3.7320322290446386</v>
      </c>
      <c r="R57" s="4">
        <v>514157</v>
      </c>
      <c r="S57" s="3">
        <v>16</v>
      </c>
      <c r="T57" s="5">
        <v>3.1118899480119886</v>
      </c>
      <c r="U57" s="4">
        <v>522667</v>
      </c>
      <c r="V57" s="3">
        <v>9</v>
      </c>
      <c r="W57" s="5">
        <f>(V57/U57)*100000</f>
        <v>1.7219376773356649</v>
      </c>
      <c r="X57" s="4">
        <v>534876</v>
      </c>
      <c r="Y57" s="3">
        <v>17</v>
      </c>
      <c r="Z57" s="5">
        <v>3.1783067477321842</v>
      </c>
      <c r="AA57" s="4">
        <v>546043</v>
      </c>
      <c r="AB57" s="3">
        <v>18</v>
      </c>
      <c r="AC57" s="5">
        <v>3.2964436866693649</v>
      </c>
      <c r="AD57" s="4">
        <v>559851</v>
      </c>
      <c r="AE57" s="3">
        <v>16</v>
      </c>
      <c r="AF57" s="5">
        <v>2.8579032635469082</v>
      </c>
      <c r="AG57" s="6">
        <v>564531</v>
      </c>
      <c r="AH57" s="3">
        <v>8</v>
      </c>
      <c r="AI57" s="5">
        <f>(AH57/AG57)*100000</f>
        <v>1.4171055265344152</v>
      </c>
      <c r="AJ57" s="6">
        <v>567491</v>
      </c>
      <c r="AK57" s="3">
        <v>23</v>
      </c>
      <c r="AL57" s="5">
        <v>4.0529277116289064</v>
      </c>
      <c r="AM57" s="6">
        <v>576656</v>
      </c>
      <c r="AN57" s="3">
        <v>20</v>
      </c>
      <c r="AO57" s="5">
        <v>3.4682722454981829</v>
      </c>
      <c r="AP57" s="6">
        <v>582620</v>
      </c>
      <c r="AQ57" s="3">
        <v>16</v>
      </c>
      <c r="AR57" s="5">
        <v>2.7462153719405444</v>
      </c>
      <c r="AS57" s="6">
        <v>583159</v>
      </c>
      <c r="AT57" s="3">
        <v>24</v>
      </c>
      <c r="AU57" s="5">
        <v>4.1155156655389016</v>
      </c>
      <c r="AV57" s="6">
        <v>586389</v>
      </c>
      <c r="AW57" s="3">
        <v>17</v>
      </c>
      <c r="AX57" s="5">
        <v>2.8990994032971287</v>
      </c>
      <c r="AY57" s="6">
        <v>585243</v>
      </c>
      <c r="AZ57" s="3">
        <v>17</v>
      </c>
      <c r="BA57" s="5">
        <v>2.9047763065940133</v>
      </c>
      <c r="BB57" s="6">
        <v>579994</v>
      </c>
      <c r="BC57" s="3">
        <v>19</v>
      </c>
      <c r="BD57" s="5">
        <v>3.2758959575443884</v>
      </c>
      <c r="BE57" s="6">
        <v>579054</v>
      </c>
      <c r="BF57" s="3">
        <v>22</v>
      </c>
      <c r="BG57" s="5">
        <v>3.799300237974351</v>
      </c>
      <c r="BH57" s="6">
        <v>580116</v>
      </c>
      <c r="BI57" s="3">
        <v>25</v>
      </c>
      <c r="BJ57" s="5">
        <v>4.3094829310000069</v>
      </c>
      <c r="BK57" s="6">
        <v>576851</v>
      </c>
      <c r="BL57" s="3">
        <v>25</v>
      </c>
      <c r="BM57" s="5">
        <f t="shared" si="1"/>
        <v>4.3338747787556926</v>
      </c>
    </row>
    <row r="58" spans="1:66" x14ac:dyDescent="0.3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66" x14ac:dyDescent="0.3">
      <c r="C59" s="4">
        <f>SUM(C33:C57)</f>
        <v>115930073</v>
      </c>
      <c r="D59" s="4">
        <f>SUM(D33:D57)</f>
        <v>7356</v>
      </c>
      <c r="E59" s="5">
        <f>(D59/C59)*100000</f>
        <v>6.3452043198489143</v>
      </c>
      <c r="F59" s="4">
        <f>SUM(F33:F57)</f>
        <v>117075625</v>
      </c>
      <c r="G59" s="4">
        <f>SUM(G33:G57)</f>
        <v>7541</v>
      </c>
      <c r="H59" s="5">
        <f>(G59/F59)*100000</f>
        <v>6.4411358043145182</v>
      </c>
      <c r="I59" s="4">
        <f>SUM(I33:I57)</f>
        <v>118268080</v>
      </c>
      <c r="J59" s="4">
        <f>SUM(J33:J57)</f>
        <v>7551</v>
      </c>
      <c r="K59" s="5">
        <f>(J59/I59)*100000</f>
        <v>6.3846474889928038</v>
      </c>
      <c r="L59" s="4">
        <f>SUM(L33:L57)</f>
        <v>119449679</v>
      </c>
      <c r="M59" s="4">
        <f>SUM(M33:M57)</f>
        <v>7517</v>
      </c>
      <c r="N59" s="5">
        <f>(M59/L59)*100000</f>
        <v>6.2930265388155622</v>
      </c>
      <c r="O59" s="4">
        <f>SUM(O33:O57)</f>
        <v>120870919</v>
      </c>
      <c r="P59" s="4">
        <f>SUM(P33:P57)</f>
        <v>7395</v>
      </c>
      <c r="Q59" s="5">
        <f>(P59/O59)*100000</f>
        <v>6.1180969427393865</v>
      </c>
      <c r="R59" s="4">
        <f>SUM(R33:R57)</f>
        <v>122404312</v>
      </c>
      <c r="S59" s="4">
        <f>SUM(S33:S57)</f>
        <v>7761</v>
      </c>
      <c r="T59" s="5">
        <f>(S59/R59)*100000</f>
        <v>6.3404629078753372</v>
      </c>
      <c r="U59" s="4">
        <f>SUM(U33:U57)</f>
        <v>123942225</v>
      </c>
      <c r="V59" s="4">
        <f>SUM(V33:V57)</f>
        <v>8069</v>
      </c>
      <c r="W59" s="5">
        <f>(V59/U59)*100000</f>
        <v>6.5102913877816864</v>
      </c>
      <c r="X59" s="4">
        <f>SUM(X33:X57)</f>
        <v>125549487</v>
      </c>
      <c r="Y59" s="4">
        <f>SUM(Y33:Y57)</f>
        <v>8309</v>
      </c>
      <c r="Z59" s="5">
        <f>(Y59/X59)*100000</f>
        <v>6.6181074877669559</v>
      </c>
      <c r="AA59" s="4">
        <f>SUM(AA33:AA57)</f>
        <v>127046772</v>
      </c>
      <c r="AB59" s="4">
        <f>SUM(AB33:AB57)</f>
        <v>8149</v>
      </c>
      <c r="AC59" s="5">
        <f>(AB59/AA59)*100000</f>
        <v>6.4141731991427537</v>
      </c>
      <c r="AD59" s="4">
        <f>SUM(AD33:AD57)</f>
        <v>128407675</v>
      </c>
      <c r="AE59" s="4">
        <f>SUM(AE33:AE57)</f>
        <v>7716</v>
      </c>
      <c r="AF59" s="5">
        <f>(AE59/AD59)*100000</f>
        <v>6.0089866123656543</v>
      </c>
      <c r="AG59" s="4">
        <f>SUM(AG33:AG57)</f>
        <v>129710684</v>
      </c>
      <c r="AH59" s="4">
        <f>SUM(AH33:AH57)</f>
        <v>7285</v>
      </c>
      <c r="AI59" s="5">
        <f>(AH59/AG59)*100000</f>
        <v>5.6163453736779303</v>
      </c>
      <c r="AJ59" s="4">
        <f>SUM(AJ33:AJ57)</f>
        <v>130792518</v>
      </c>
      <c r="AK59" s="4">
        <f>SUM(AK33:AK57)</f>
        <v>7465</v>
      </c>
      <c r="AL59" s="5">
        <f>(AK59/AJ59)*100000</f>
        <v>5.7075130245600141</v>
      </c>
      <c r="AM59" s="4">
        <f>SUM(AM33:AM57)</f>
        <v>131963852</v>
      </c>
      <c r="AN59" s="4">
        <f>SUM(AN33:AN57)</f>
        <v>7763</v>
      </c>
      <c r="AO59" s="5">
        <f>(AN59/AM59)*100000</f>
        <v>5.8826715667560237</v>
      </c>
      <c r="AP59" s="4">
        <f>SUM(AP33:AP57)</f>
        <v>133123382</v>
      </c>
      <c r="AQ59" s="4">
        <f>SUM(AQ33:AQ57)</f>
        <v>7586</v>
      </c>
      <c r="AR59" s="5">
        <f>(AQ59/AP59)*100000</f>
        <v>5.698473015056063</v>
      </c>
      <c r="AS59" s="4">
        <f>SUM(AS33:AS57)</f>
        <v>134378869</v>
      </c>
      <c r="AT59" s="4">
        <f>SUM(AT33:AT57)</f>
        <v>7753</v>
      </c>
      <c r="AU59" s="5">
        <f>(AT59/AS59)*100000</f>
        <v>5.7695082997014957</v>
      </c>
      <c r="AV59" s="4">
        <f>SUM(AV33:AV57)</f>
        <v>135728080</v>
      </c>
      <c r="AW59" s="4">
        <f>SUM(AW33:AW57)</f>
        <v>8637</v>
      </c>
      <c r="AX59" s="5">
        <f>(AW59/AV59)*100000</f>
        <v>6.3634584678424684</v>
      </c>
      <c r="AY59" s="4">
        <f>SUM(AY33:AY57)</f>
        <v>137088926</v>
      </c>
      <c r="AZ59" s="4">
        <f>SUM(AZ33:AZ57)</f>
        <v>9545</v>
      </c>
      <c r="BA59" s="5">
        <f>(AZ59/AY59)*100000</f>
        <v>6.9626338745990326</v>
      </c>
      <c r="BB59" s="4">
        <f>SUM(BB33:BB57)</f>
        <v>138279178</v>
      </c>
      <c r="BC59" s="4">
        <f>SUM(BC33:BC57)</f>
        <v>9830</v>
      </c>
      <c r="BD59" s="5">
        <f>(BC59/BB59)*100000</f>
        <v>7.1088070830157815</v>
      </c>
      <c r="BE59" s="4">
        <f>SUM(BE33:BE57)</f>
        <v>139323252</v>
      </c>
      <c r="BF59" s="4">
        <f>SUM(BF33:BF57)</f>
        <v>9483</v>
      </c>
      <c r="BG59" s="5">
        <f>(BF59/BE59)*100000</f>
        <v>6.8064733372718003</v>
      </c>
      <c r="BH59" s="4">
        <f>SUM(BH33:BH57)</f>
        <v>140361937</v>
      </c>
      <c r="BI59" s="4">
        <f>SUM(BI33:BI57)</f>
        <v>9868</v>
      </c>
      <c r="BJ59" s="5">
        <f>(BI59/BH59)*100000</f>
        <v>7.0303959968862495</v>
      </c>
      <c r="BK59" s="4">
        <f>SUM(BK33:BK57)</f>
        <v>140533769</v>
      </c>
      <c r="BL59" s="4">
        <f>SUM(BL33:BL57)</f>
        <v>12430</v>
      </c>
      <c r="BM59" s="5">
        <f>(BL59/BK59)*100000</f>
        <v>8.8448492404697419</v>
      </c>
      <c r="BN59" s="5">
        <f>AVERAGE(BM59,BJ59,BG59,BD59,BA59,AX59,AU59,AR59,AO59,AL59,AI59,AF59,AC59,Z59,W59,T59,Q59,N59,K59,H59,E59)</f>
        <v>6.4412029509276261</v>
      </c>
    </row>
    <row r="60" spans="1:66" x14ac:dyDescent="0.3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1:66" x14ac:dyDescent="0.3">
      <c r="A61" s="3" t="s">
        <v>119</v>
      </c>
      <c r="E61" s="10">
        <f>(E59-E28)/E28</f>
        <v>0.16097680630200198</v>
      </c>
      <c r="H61" s="10">
        <f>(H59-H28)/H28</f>
        <v>0.13960376534257263</v>
      </c>
      <c r="K61" s="10">
        <f>(K59-K28)/K28</f>
        <v>0.11428606604593565</v>
      </c>
      <c r="N61" s="10">
        <f>(N59-N28)/N28</f>
        <v>9.1889547400343996E-2</v>
      </c>
      <c r="Q61" s="10">
        <f>(Q59-Q28)/Q28</f>
        <v>9.2463920496058102E-2</v>
      </c>
      <c r="T61" s="10">
        <f>(T59-T28)/T28</f>
        <v>9.9734750552120083E-2</v>
      </c>
      <c r="W61" s="10">
        <f>(W59-W28)/W28</f>
        <v>0.12138386346461949</v>
      </c>
      <c r="Z61" s="10">
        <f>(Z59-Z28)/Z28</f>
        <v>0.19991617227415046</v>
      </c>
      <c r="AC61" s="10">
        <f>(AC59-AC28)/AC28</f>
        <v>0.22115614687436619</v>
      </c>
      <c r="AF61" s="10">
        <f>(AF59-AF28)/AF28</f>
        <v>0.22784749504882085</v>
      </c>
      <c r="AI61" s="10">
        <f>(AI59-AI28)/AI28</f>
        <v>0.1679700229793113</v>
      </c>
      <c r="AL61" s="10">
        <f>(AL59-AL28)/AL28</f>
        <v>0.21868507085949668</v>
      </c>
      <c r="AO61" s="10">
        <f>(AO59-AO28)/AO28</f>
        <v>0.23985509326057769</v>
      </c>
      <c r="AR61" s="10">
        <f>(AR59-AR28)/AR28</f>
        <v>0.26831036354130944</v>
      </c>
      <c r="AU61" s="10">
        <f>(AU59-AU28)/AU28</f>
        <v>0.31862865203288954</v>
      </c>
      <c r="AX61" s="10">
        <f>(AX59-AX28)/AX28</f>
        <v>0.30044469719005168</v>
      </c>
      <c r="BA61" s="10">
        <f>(BA59-BA28)/BA28</f>
        <v>0.331416930175643</v>
      </c>
      <c r="BD61" s="10">
        <f>(BD59-BD28)/BD28</f>
        <v>0.38374473098289436</v>
      </c>
      <c r="BG61" s="10">
        <f>(BG59-BG28)/BG28</f>
        <v>0.38163938858460811</v>
      </c>
      <c r="BJ61" s="10">
        <f>(BJ59-BJ28)/BJ28</f>
        <v>0.44496793784773103</v>
      </c>
      <c r="BM61" s="10">
        <f>(BM59-BM28)/BM28</f>
        <v>0.4274301657766042</v>
      </c>
      <c r="BN61" s="10">
        <f>(BN59-BN28)/BN28</f>
        <v>0.2319549871652451</v>
      </c>
    </row>
    <row r="63" spans="1:66" x14ac:dyDescent="0.3">
      <c r="G63" s="11"/>
      <c r="AL63" s="11"/>
      <c r="BA63" s="11"/>
      <c r="BL63" s="3" t="s">
        <v>92</v>
      </c>
      <c r="BM63" s="9">
        <f>(BM59-E59)/E59</f>
        <v>0.39394238461344716</v>
      </c>
    </row>
    <row r="65" spans="1:22" x14ac:dyDescent="0.3">
      <c r="B65" s="3">
        <v>2000</v>
      </c>
      <c r="C65" s="3">
        <v>2001</v>
      </c>
      <c r="D65" s="3">
        <v>2002</v>
      </c>
      <c r="E65" s="3">
        <v>2003</v>
      </c>
      <c r="F65" s="3">
        <v>2004</v>
      </c>
      <c r="G65" s="3">
        <v>2005</v>
      </c>
      <c r="H65" s="3">
        <v>2006</v>
      </c>
      <c r="I65" s="3">
        <v>2007</v>
      </c>
      <c r="J65" s="3">
        <v>2008</v>
      </c>
      <c r="K65" s="3">
        <v>2009</v>
      </c>
      <c r="L65" s="3">
        <v>2010</v>
      </c>
      <c r="M65" s="3">
        <v>2011</v>
      </c>
      <c r="N65" s="3">
        <v>2012</v>
      </c>
      <c r="O65" s="3">
        <v>2013</v>
      </c>
      <c r="P65" s="3">
        <v>2014</v>
      </c>
      <c r="Q65" s="3">
        <v>2015</v>
      </c>
      <c r="R65" s="3">
        <v>2016</v>
      </c>
      <c r="S65" s="3">
        <v>2017</v>
      </c>
      <c r="T65" s="3">
        <v>2018</v>
      </c>
      <c r="U65" s="3">
        <v>2019</v>
      </c>
      <c r="V65" s="3">
        <v>2020</v>
      </c>
    </row>
    <row r="66" spans="1:22" x14ac:dyDescent="0.3">
      <c r="A66" s="3" t="s">
        <v>120</v>
      </c>
      <c r="B66" s="5">
        <v>5.4654014493708605</v>
      </c>
      <c r="C66" s="5">
        <v>5.6520836453872798</v>
      </c>
      <c r="D66" s="5">
        <v>5.7149982058424929</v>
      </c>
      <c r="E66" s="5">
        <v>5.76342776959308</v>
      </c>
      <c r="F66" s="5">
        <v>5.6002736822295471</v>
      </c>
      <c r="G66" s="5">
        <v>5.7654474451153952</v>
      </c>
      <c r="H66" s="5">
        <v>5.805586828820184</v>
      </c>
      <c r="I66" s="5">
        <v>5.5154748645681941</v>
      </c>
      <c r="J66" s="5">
        <v>5.2525413851130134</v>
      </c>
      <c r="K66" s="5">
        <v>4.8899817117046567</v>
      </c>
      <c r="L66" s="5">
        <v>4.8047279193075187</v>
      </c>
      <c r="M66" s="5">
        <v>4.6788968812921068</v>
      </c>
      <c r="N66" s="5">
        <v>4.7402313240609084</v>
      </c>
      <c r="O66" s="5">
        <v>4.4874782515024849</v>
      </c>
      <c r="P66" s="5">
        <v>4.3753852085701466</v>
      </c>
      <c r="Q66" s="5">
        <v>4.8932941797466452</v>
      </c>
      <c r="R66" s="5">
        <v>5.2294917668506056</v>
      </c>
      <c r="S66" s="5">
        <v>5.1373688541283844</v>
      </c>
      <c r="T66" s="5">
        <v>4.926374706387425</v>
      </c>
      <c r="U66" s="5">
        <v>4.86543390530725</v>
      </c>
      <c r="V66" s="5">
        <v>6.2</v>
      </c>
    </row>
    <row r="67" spans="1:22" x14ac:dyDescent="0.3">
      <c r="A67" s="3" t="s">
        <v>121</v>
      </c>
      <c r="B67" s="5">
        <v>6.3452043198489143</v>
      </c>
      <c r="C67" s="5">
        <v>6.4351567629897346</v>
      </c>
      <c r="D67" s="5">
        <v>6.3804198055806767</v>
      </c>
      <c r="E67" s="5">
        <v>6.2930265388155622</v>
      </c>
      <c r="F67" s="5">
        <v>6.1180969427393865</v>
      </c>
      <c r="G67" s="5">
        <v>6.3404629078753372</v>
      </c>
      <c r="H67" s="5">
        <v>6.5030299399579121</v>
      </c>
      <c r="I67" s="5">
        <v>6.6181074877669559</v>
      </c>
      <c r="J67" s="5">
        <v>6.4118118640590094</v>
      </c>
      <c r="K67" s="5">
        <v>6.0089866123656543</v>
      </c>
      <c r="L67" s="5">
        <v>5.61017780154486</v>
      </c>
      <c r="M67" s="5">
        <v>5.7075130245600141</v>
      </c>
      <c r="N67" s="5">
        <v>5.8826715667560237</v>
      </c>
      <c r="O67" s="5">
        <v>5.698473015056063</v>
      </c>
      <c r="P67" s="5">
        <v>5.7695082997014957</v>
      </c>
      <c r="Q67" s="5">
        <v>6.3634584678424684</v>
      </c>
      <c r="R67" s="5">
        <v>6.9626338745990326</v>
      </c>
      <c r="S67" s="5">
        <v>7.1088070830157815</v>
      </c>
      <c r="T67" s="5">
        <v>6.8064733372718003</v>
      </c>
      <c r="U67" s="5">
        <v>7.0303959968862495</v>
      </c>
      <c r="V67" s="5">
        <v>8.84</v>
      </c>
    </row>
    <row r="69" spans="1:22" x14ac:dyDescent="0.3">
      <c r="B69" s="5">
        <f>B67-B66</f>
        <v>0.87980287047805383</v>
      </c>
      <c r="C69" s="5">
        <f t="shared" ref="C69:V69" si="2">C67-C66</f>
        <v>0.78307311760245479</v>
      </c>
      <c r="D69" s="5">
        <f t="shared" si="2"/>
        <v>0.66542159973818382</v>
      </c>
      <c r="E69" s="5">
        <f t="shared" si="2"/>
        <v>0.52959876922248217</v>
      </c>
      <c r="F69" s="5">
        <f t="shared" si="2"/>
        <v>0.5178232605098394</v>
      </c>
      <c r="G69" s="5">
        <f t="shared" si="2"/>
        <v>0.57501546275994198</v>
      </c>
      <c r="H69" s="5">
        <f t="shared" si="2"/>
        <v>0.69744311113772817</v>
      </c>
      <c r="I69" s="5">
        <f t="shared" si="2"/>
        <v>1.1026326231987618</v>
      </c>
      <c r="J69" s="5">
        <f t="shared" si="2"/>
        <v>1.159270478945996</v>
      </c>
      <c r="K69" s="5">
        <f t="shared" si="2"/>
        <v>1.1190049006609977</v>
      </c>
      <c r="L69" s="5">
        <f t="shared" si="2"/>
        <v>0.80544988223734126</v>
      </c>
      <c r="M69" s="5">
        <f t="shared" si="2"/>
        <v>1.0286161432679073</v>
      </c>
      <c r="N69" s="5">
        <f t="shared" si="2"/>
        <v>1.1424402426951152</v>
      </c>
      <c r="O69" s="5">
        <f t="shared" si="2"/>
        <v>1.210994763553578</v>
      </c>
      <c r="P69" s="5">
        <f t="shared" si="2"/>
        <v>1.3941230911313491</v>
      </c>
      <c r="Q69" s="5">
        <f t="shared" si="2"/>
        <v>1.4701642880958232</v>
      </c>
      <c r="R69" s="5">
        <f t="shared" si="2"/>
        <v>1.733142107748427</v>
      </c>
      <c r="S69" s="5">
        <f t="shared" si="2"/>
        <v>1.9714382288873971</v>
      </c>
      <c r="T69" s="5">
        <f t="shared" si="2"/>
        <v>1.8800986308843752</v>
      </c>
      <c r="U69" s="5">
        <f t="shared" si="2"/>
        <v>2.1649620915789995</v>
      </c>
      <c r="V69" s="5">
        <f t="shared" si="2"/>
        <v>2.6399999999999997</v>
      </c>
    </row>
    <row r="72" spans="1:22" x14ac:dyDescent="0.3">
      <c r="O72" s="12" t="s">
        <v>122</v>
      </c>
      <c r="P72" s="12" t="s">
        <v>123</v>
      </c>
    </row>
    <row r="73" spans="1:22" x14ac:dyDescent="0.3">
      <c r="O73" s="12">
        <v>2000</v>
      </c>
      <c r="P73" s="13">
        <f>B69</f>
        <v>0.87980287047805383</v>
      </c>
    </row>
    <row r="74" spans="1:22" x14ac:dyDescent="0.3">
      <c r="O74" s="12">
        <v>2001</v>
      </c>
      <c r="P74" s="13">
        <f>C69</f>
        <v>0.78307311760245479</v>
      </c>
    </row>
    <row r="75" spans="1:22" x14ac:dyDescent="0.3">
      <c r="O75" s="12">
        <v>2002</v>
      </c>
      <c r="P75" s="13">
        <f>D69</f>
        <v>0.66542159973818382</v>
      </c>
    </row>
    <row r="76" spans="1:22" x14ac:dyDescent="0.3">
      <c r="O76" s="12">
        <v>2003</v>
      </c>
      <c r="P76" s="13">
        <f>E69</f>
        <v>0.52959876922248217</v>
      </c>
    </row>
    <row r="77" spans="1:22" x14ac:dyDescent="0.3">
      <c r="O77" s="12">
        <v>2004</v>
      </c>
      <c r="P77" s="13">
        <f>F69</f>
        <v>0.5178232605098394</v>
      </c>
    </row>
    <row r="78" spans="1:22" x14ac:dyDescent="0.3">
      <c r="O78" s="12">
        <v>2005</v>
      </c>
      <c r="P78" s="13">
        <f>G69</f>
        <v>0.57501546275994198</v>
      </c>
    </row>
    <row r="79" spans="1:22" x14ac:dyDescent="0.3">
      <c r="O79" s="12">
        <v>2006</v>
      </c>
      <c r="P79" s="13">
        <f>H69</f>
        <v>0.69744311113772817</v>
      </c>
    </row>
    <row r="80" spans="1:22" x14ac:dyDescent="0.3">
      <c r="O80" s="12">
        <v>2007</v>
      </c>
      <c r="P80" s="13">
        <f>I69</f>
        <v>1.1026326231987618</v>
      </c>
    </row>
    <row r="81" spans="15:16" x14ac:dyDescent="0.3">
      <c r="O81" s="12">
        <v>2008</v>
      </c>
      <c r="P81" s="13">
        <f>J69</f>
        <v>1.159270478945996</v>
      </c>
    </row>
    <row r="82" spans="15:16" x14ac:dyDescent="0.3">
      <c r="O82" s="12">
        <v>2009</v>
      </c>
      <c r="P82" s="13">
        <f>K69</f>
        <v>1.1190049006609977</v>
      </c>
    </row>
    <row r="83" spans="15:16" x14ac:dyDescent="0.3">
      <c r="O83" s="12">
        <v>2010</v>
      </c>
      <c r="P83" s="13">
        <f>L69</f>
        <v>0.80544988223734126</v>
      </c>
    </row>
    <row r="84" spans="15:16" x14ac:dyDescent="0.3">
      <c r="O84" s="12">
        <v>2011</v>
      </c>
      <c r="P84" s="13">
        <f>M69</f>
        <v>1.0286161432679073</v>
      </c>
    </row>
    <row r="85" spans="15:16" x14ac:dyDescent="0.3">
      <c r="O85" s="12">
        <v>2012</v>
      </c>
      <c r="P85" s="13">
        <f>N69</f>
        <v>1.1424402426951152</v>
      </c>
    </row>
    <row r="86" spans="15:16" x14ac:dyDescent="0.3">
      <c r="O86" s="12">
        <v>2013</v>
      </c>
      <c r="P86" s="13">
        <f>O69</f>
        <v>1.210994763553578</v>
      </c>
    </row>
    <row r="87" spans="15:16" x14ac:dyDescent="0.3">
      <c r="O87" s="12">
        <v>2014</v>
      </c>
      <c r="P87" s="13">
        <f>P69</f>
        <v>1.3941230911313491</v>
      </c>
    </row>
    <row r="88" spans="15:16" x14ac:dyDescent="0.3">
      <c r="O88" s="12">
        <v>2015</v>
      </c>
      <c r="P88" s="13">
        <f>Q69</f>
        <v>1.4701642880958232</v>
      </c>
    </row>
    <row r="89" spans="15:16" x14ac:dyDescent="0.3">
      <c r="O89" s="12">
        <v>2016</v>
      </c>
      <c r="P89" s="13">
        <f>R69</f>
        <v>1.733142107748427</v>
      </c>
    </row>
    <row r="90" spans="15:16" x14ac:dyDescent="0.3">
      <c r="O90" s="12">
        <v>2017</v>
      </c>
      <c r="P90" s="13">
        <f>S69</f>
        <v>1.9714382288873971</v>
      </c>
    </row>
    <row r="91" spans="15:16" x14ac:dyDescent="0.3">
      <c r="O91" s="12">
        <v>2018</v>
      </c>
      <c r="P91" s="13">
        <f>T69</f>
        <v>1.8800986308843752</v>
      </c>
    </row>
    <row r="92" spans="15:16" x14ac:dyDescent="0.3">
      <c r="O92" s="12">
        <v>2019</v>
      </c>
      <c r="P92" s="13">
        <f>U69</f>
        <v>2.1649620915789995</v>
      </c>
    </row>
    <row r="93" spans="15:16" x14ac:dyDescent="0.3">
      <c r="O93" s="12">
        <v>2020</v>
      </c>
      <c r="P93" s="13">
        <f>V69</f>
        <v>2.6399999999999997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F3CEE-FFCD-4C1F-B168-8F895A4F2B60}">
  <dimension ref="A1:EB59"/>
  <sheetViews>
    <sheetView topLeftCell="A22" workbookViewId="0">
      <selection activeCell="AK7" sqref="AK7"/>
    </sheetView>
  </sheetViews>
  <sheetFormatPr defaultRowHeight="14" x14ac:dyDescent="0.3"/>
  <cols>
    <col min="1" max="1" width="20.6328125" style="3" customWidth="1"/>
    <col min="2" max="2" width="8.26953125" style="3" customWidth="1"/>
    <col min="3" max="3" width="10.54296875" style="3" customWidth="1"/>
    <col min="4" max="5" width="8.7265625" style="3"/>
    <col min="6" max="6" width="10.7265625" style="3" bestFit="1" customWidth="1"/>
    <col min="7" max="8" width="8.7265625" style="3"/>
    <col min="9" max="9" width="9.6328125" style="3" customWidth="1"/>
    <col min="10" max="11" width="8.7265625" style="3"/>
    <col min="12" max="12" width="10.81640625" style="3" customWidth="1"/>
    <col min="13" max="14" width="8.7265625" style="3"/>
    <col min="15" max="15" width="9.90625" style="3" customWidth="1"/>
    <col min="16" max="17" width="8.7265625" style="3"/>
    <col min="18" max="18" width="11.6328125" style="3" customWidth="1"/>
    <col min="19" max="20" width="8.7265625" style="3"/>
    <col min="21" max="21" width="9.7265625" style="3" customWidth="1"/>
    <col min="22" max="23" width="8.7265625" style="3"/>
    <col min="24" max="24" width="11.453125" style="3" customWidth="1"/>
    <col min="25" max="26" width="8.7265625" style="3"/>
    <col min="27" max="27" width="9.90625" style="3" customWidth="1"/>
    <col min="28" max="29" width="8.7265625" style="3"/>
    <col min="30" max="30" width="11.453125" style="3" customWidth="1"/>
    <col min="31" max="32" width="8.7265625" style="3"/>
    <col min="33" max="33" width="10.36328125" style="3" customWidth="1"/>
    <col min="34" max="35" width="8.7265625" style="3"/>
    <col min="36" max="36" width="10.90625" style="3" customWidth="1"/>
    <col min="37" max="38" width="8.7265625" style="3"/>
    <col min="39" max="39" width="10" style="3" customWidth="1"/>
    <col min="40" max="41" width="8.7265625" style="3"/>
    <col min="42" max="42" width="11.6328125" style="3" customWidth="1"/>
    <col min="43" max="44" width="8.7265625" style="3"/>
    <col min="45" max="45" width="10" style="3" customWidth="1"/>
    <col min="46" max="47" width="8.7265625" style="3"/>
    <col min="48" max="48" width="11.36328125" style="3" customWidth="1"/>
    <col min="49" max="50" width="8.7265625" style="3"/>
    <col min="51" max="51" width="10.08984375" style="3" customWidth="1"/>
    <col min="52" max="53" width="8.7265625" style="3"/>
    <col min="54" max="54" width="11.6328125" style="3" customWidth="1"/>
    <col min="55" max="56" width="8.7265625" style="3"/>
    <col min="57" max="57" width="9.81640625" style="3" customWidth="1"/>
    <col min="58" max="59" width="8.7265625" style="3"/>
    <col min="60" max="60" width="11.36328125" style="3" customWidth="1"/>
    <col min="61" max="62" width="8.7265625" style="3"/>
    <col min="63" max="63" width="9.7265625" style="3" customWidth="1"/>
    <col min="64" max="65" width="8.7265625" style="3"/>
    <col min="66" max="66" width="11.26953125" style="3" customWidth="1"/>
    <col min="67" max="68" width="8.7265625" style="3"/>
    <col min="69" max="69" width="9.90625" style="3" customWidth="1"/>
    <col min="70" max="71" width="8.7265625" style="3"/>
    <col min="72" max="72" width="11" style="3" customWidth="1"/>
    <col min="73" max="74" width="8.7265625" style="3"/>
    <col min="75" max="75" width="9.7265625" style="3" customWidth="1"/>
    <col min="76" max="77" width="8.7265625" style="3"/>
    <col min="78" max="78" width="11" style="3" customWidth="1"/>
    <col min="79" max="80" width="8.7265625" style="3"/>
    <col min="81" max="81" width="10.1796875" style="3" customWidth="1"/>
    <col min="82" max="83" width="8.7265625" style="3"/>
    <col min="84" max="84" width="10.90625" style="3" customWidth="1"/>
    <col min="85" max="86" width="8.7265625" style="3"/>
    <col min="87" max="87" width="9.6328125" style="3" customWidth="1"/>
    <col min="88" max="89" width="8.7265625" style="3"/>
    <col min="90" max="90" width="11.1796875" style="3" customWidth="1"/>
    <col min="91" max="92" width="8.7265625" style="3"/>
    <col min="93" max="93" width="10.81640625" style="3" customWidth="1"/>
    <col min="94" max="95" width="8.7265625" style="3"/>
    <col min="96" max="96" width="11.08984375" style="3" customWidth="1"/>
    <col min="97" max="98" width="8.7265625" style="3"/>
    <col min="99" max="99" width="10.453125" style="3" customWidth="1"/>
    <col min="100" max="101" width="8.7265625" style="3"/>
    <col min="102" max="102" width="11.453125" style="3" customWidth="1"/>
    <col min="103" max="104" width="8.7265625" style="3"/>
    <col min="105" max="105" width="9.90625" style="3" customWidth="1"/>
    <col min="106" max="107" width="8.7265625" style="3"/>
    <col min="108" max="108" width="11" style="3" customWidth="1"/>
    <col min="109" max="110" width="8.7265625" style="3"/>
    <col min="111" max="111" width="9.7265625" style="3" customWidth="1"/>
    <col min="112" max="113" width="8.7265625" style="3"/>
    <col min="114" max="114" width="11.1796875" style="3" customWidth="1"/>
    <col min="115" max="115" width="10.36328125" style="3" bestFit="1" customWidth="1"/>
    <col min="116" max="116" width="8.7265625" style="3"/>
    <col min="117" max="117" width="9.90625" style="3" customWidth="1"/>
    <col min="118" max="119" width="8.7265625" style="3"/>
    <col min="120" max="120" width="11.36328125" style="3" bestFit="1" customWidth="1"/>
    <col min="121" max="121" width="8.81640625" style="3" bestFit="1" customWidth="1"/>
    <col min="122" max="122" width="8.7265625" style="3"/>
    <col min="123" max="123" width="10.1796875" style="3" customWidth="1"/>
    <col min="124" max="124" width="10.453125" style="3" customWidth="1"/>
    <col min="125" max="125" width="9.453125" style="3" customWidth="1"/>
    <col min="126" max="126" width="11.26953125" style="3" customWidth="1"/>
    <col min="127" max="127" width="7.453125" style="3" customWidth="1"/>
    <col min="128" max="16384" width="8.7265625" style="3"/>
  </cols>
  <sheetData>
    <row r="1" spans="1:129" x14ac:dyDescent="0.3">
      <c r="A1" s="1" t="s">
        <v>0</v>
      </c>
      <c r="B1" s="1" t="s">
        <v>124</v>
      </c>
      <c r="C1" s="1" t="s">
        <v>2</v>
      </c>
      <c r="D1" s="1" t="s">
        <v>3</v>
      </c>
      <c r="E1" s="1" t="s">
        <v>4</v>
      </c>
      <c r="F1" s="1"/>
      <c r="G1" s="1"/>
      <c r="H1" s="14"/>
      <c r="I1" s="1" t="s">
        <v>5</v>
      </c>
      <c r="J1" s="1" t="s">
        <v>6</v>
      </c>
      <c r="K1" s="1" t="s">
        <v>7</v>
      </c>
      <c r="L1" s="1"/>
      <c r="M1" s="1"/>
      <c r="N1" s="14"/>
      <c r="O1" s="1" t="s">
        <v>8</v>
      </c>
      <c r="P1" s="1" t="s">
        <v>9</v>
      </c>
      <c r="Q1" s="1" t="s">
        <v>10</v>
      </c>
      <c r="R1" s="1"/>
      <c r="S1" s="1"/>
      <c r="T1" s="14"/>
      <c r="U1" s="1" t="s">
        <v>11</v>
      </c>
      <c r="V1" s="1" t="s">
        <v>12</v>
      </c>
      <c r="W1" s="1" t="s">
        <v>13</v>
      </c>
      <c r="X1" s="1"/>
      <c r="Y1" s="1"/>
      <c r="Z1" s="14"/>
      <c r="AA1" s="1" t="s">
        <v>14</v>
      </c>
      <c r="AB1" s="1" t="s">
        <v>15</v>
      </c>
      <c r="AC1" s="1" t="s">
        <v>16</v>
      </c>
      <c r="AD1" s="1"/>
      <c r="AE1" s="1"/>
      <c r="AF1" s="14"/>
      <c r="AG1" s="1" t="s">
        <v>17</v>
      </c>
      <c r="AH1" s="1" t="s">
        <v>18</v>
      </c>
      <c r="AI1" s="1" t="s">
        <v>19</v>
      </c>
      <c r="AJ1" s="1"/>
      <c r="AK1" s="1"/>
      <c r="AL1" s="14"/>
      <c r="AM1" s="1" t="s">
        <v>20</v>
      </c>
      <c r="AN1" s="1" t="s">
        <v>21</v>
      </c>
      <c r="AO1" s="1" t="s">
        <v>22</v>
      </c>
      <c r="AP1" s="1"/>
      <c r="AQ1" s="1"/>
      <c r="AR1" s="14"/>
      <c r="AS1" s="1" t="s">
        <v>23</v>
      </c>
      <c r="AT1" s="1" t="s">
        <v>24</v>
      </c>
      <c r="AU1" s="1" t="s">
        <v>25</v>
      </c>
      <c r="AV1" s="1"/>
      <c r="AW1" s="1"/>
      <c r="AX1" s="14"/>
      <c r="AY1" s="1" t="s">
        <v>26</v>
      </c>
      <c r="AZ1" s="1" t="s">
        <v>27</v>
      </c>
      <c r="BA1" s="1" t="s">
        <v>28</v>
      </c>
      <c r="BB1" s="1"/>
      <c r="BC1" s="1"/>
      <c r="BD1" s="14"/>
      <c r="BE1" s="1" t="s">
        <v>29</v>
      </c>
      <c r="BF1" s="1" t="s">
        <v>30</v>
      </c>
      <c r="BG1" s="1" t="s">
        <v>31</v>
      </c>
      <c r="BH1" s="1"/>
      <c r="BI1" s="1"/>
      <c r="BJ1" s="14"/>
      <c r="BK1" s="1" t="s">
        <v>32</v>
      </c>
      <c r="BL1" s="1" t="s">
        <v>33</v>
      </c>
      <c r="BM1" s="1" t="s">
        <v>34</v>
      </c>
      <c r="BN1" s="1"/>
      <c r="BO1" s="1"/>
      <c r="BP1" s="14"/>
      <c r="BQ1" s="1" t="s">
        <v>35</v>
      </c>
      <c r="BR1" s="1" t="s">
        <v>36</v>
      </c>
      <c r="BS1" s="1" t="s">
        <v>37</v>
      </c>
      <c r="BT1" s="1"/>
      <c r="BU1" s="1"/>
      <c r="BV1" s="14"/>
      <c r="BW1" s="1" t="s">
        <v>38</v>
      </c>
      <c r="BX1" s="1" t="s">
        <v>39</v>
      </c>
      <c r="BY1" s="1" t="s">
        <v>40</v>
      </c>
      <c r="BZ1" s="1"/>
      <c r="CA1" s="1"/>
      <c r="CB1" s="14"/>
      <c r="CC1" s="1" t="s">
        <v>41</v>
      </c>
      <c r="CD1" s="1" t="s">
        <v>42</v>
      </c>
      <c r="CE1" s="1" t="s">
        <v>43</v>
      </c>
      <c r="CF1" s="1"/>
      <c r="CG1" s="1"/>
      <c r="CH1" s="14"/>
      <c r="CI1" s="1" t="s">
        <v>44</v>
      </c>
      <c r="CJ1" s="1" t="s">
        <v>45</v>
      </c>
      <c r="CK1" s="1" t="s">
        <v>46</v>
      </c>
      <c r="CL1" s="1"/>
      <c r="CM1" s="1"/>
      <c r="CN1" s="14"/>
      <c r="CO1" s="1" t="s">
        <v>47</v>
      </c>
      <c r="CP1" s="1" t="s">
        <v>48</v>
      </c>
      <c r="CQ1" s="1" t="s">
        <v>49</v>
      </c>
      <c r="CR1" s="1"/>
      <c r="CS1" s="1"/>
      <c r="CT1" s="14"/>
      <c r="CU1" s="1" t="s">
        <v>50</v>
      </c>
      <c r="CV1" s="1" t="s">
        <v>51</v>
      </c>
      <c r="CW1" s="1" t="s">
        <v>52</v>
      </c>
      <c r="CX1" s="1"/>
      <c r="CY1" s="1"/>
      <c r="CZ1" s="14"/>
      <c r="DA1" s="1" t="s">
        <v>53</v>
      </c>
      <c r="DB1" s="1" t="s">
        <v>54</v>
      </c>
      <c r="DC1" s="1" t="s">
        <v>55</v>
      </c>
      <c r="DD1" s="1"/>
      <c r="DE1" s="1"/>
      <c r="DF1" s="14"/>
      <c r="DG1" s="1" t="s">
        <v>56</v>
      </c>
      <c r="DH1" s="1" t="s">
        <v>57</v>
      </c>
      <c r="DI1" s="1" t="s">
        <v>58</v>
      </c>
      <c r="DJ1" s="1"/>
      <c r="DK1" s="1"/>
      <c r="DL1" s="14"/>
      <c r="DM1" s="1" t="s">
        <v>59</v>
      </c>
      <c r="DN1" s="1" t="s">
        <v>60</v>
      </c>
      <c r="DO1" s="1" t="s">
        <v>61</v>
      </c>
      <c r="DP1" s="1"/>
      <c r="DQ1" s="1"/>
      <c r="DR1" s="14"/>
      <c r="DS1" s="1" t="s">
        <v>62</v>
      </c>
      <c r="DT1" s="1" t="s">
        <v>63</v>
      </c>
      <c r="DU1" s="1" t="s">
        <v>64</v>
      </c>
      <c r="DX1" s="15"/>
    </row>
    <row r="2" spans="1:129" x14ac:dyDescent="0.3">
      <c r="A2" s="2" t="s">
        <v>125</v>
      </c>
      <c r="B2" s="3" t="s">
        <v>94</v>
      </c>
      <c r="C2" s="4">
        <v>4452173</v>
      </c>
      <c r="D2" s="3">
        <v>439</v>
      </c>
      <c r="E2" s="5">
        <v>9.8603535846428247</v>
      </c>
      <c r="F2" s="4">
        <f>C2-276700</f>
        <v>4175473</v>
      </c>
      <c r="G2" s="3">
        <f>D2-10</f>
        <v>429</v>
      </c>
      <c r="H2" s="16">
        <f>(G2/F2)*100000</f>
        <v>10.274285092970306</v>
      </c>
      <c r="I2" s="4">
        <v>4467634</v>
      </c>
      <c r="J2" s="3">
        <v>425</v>
      </c>
      <c r="K2" s="5">
        <v>9.5128651988949855</v>
      </c>
      <c r="L2" s="4">
        <f>I2-281517</f>
        <v>4186117</v>
      </c>
      <c r="M2" s="3">
        <f>J2-17</f>
        <v>408</v>
      </c>
      <c r="N2" s="16">
        <f>(M2/L2)*100000</f>
        <v>9.7465025463932324</v>
      </c>
      <c r="O2" s="4">
        <v>4480089</v>
      </c>
      <c r="P2" s="3">
        <v>414</v>
      </c>
      <c r="Q2" s="5">
        <v>9.2408878484333687</v>
      </c>
      <c r="R2" s="4">
        <f>O2-286439</f>
        <v>4193650</v>
      </c>
      <c r="S2" s="3">
        <f>P2-14</f>
        <v>400</v>
      </c>
      <c r="T2" s="16">
        <f>(S2/R2)*100000</f>
        <v>9.5382304198013657</v>
      </c>
      <c r="U2" s="4">
        <v>4503491</v>
      </c>
      <c r="V2" s="3">
        <v>434</v>
      </c>
      <c r="W2" s="5">
        <v>9.6369682985932474</v>
      </c>
      <c r="X2" s="4">
        <f>U2-291342</f>
        <v>4212149</v>
      </c>
      <c r="Y2" s="3">
        <f>V2-20</f>
        <v>414</v>
      </c>
      <c r="Z2" s="16">
        <f>(Y2/X2)*100000</f>
        <v>9.8287121372012241</v>
      </c>
      <c r="AA2" s="4">
        <v>4530729</v>
      </c>
      <c r="AB2" s="3">
        <v>367</v>
      </c>
      <c r="AC2" s="5">
        <v>8.100241705032456</v>
      </c>
      <c r="AF2" s="16">
        <f>AC2</f>
        <v>8.100241705032456</v>
      </c>
      <c r="AG2" s="4">
        <v>4569805</v>
      </c>
      <c r="AH2" s="3">
        <v>432</v>
      </c>
      <c r="AI2" s="5">
        <v>9.4533574189708318</v>
      </c>
      <c r="AJ2" s="4">
        <f>AG2-301474</f>
        <v>4268331</v>
      </c>
      <c r="AK2" s="3">
        <f>AH2-20</f>
        <v>412</v>
      </c>
      <c r="AL2" s="16">
        <f>(AK2/AJ2)*100000</f>
        <v>9.6524847768366602</v>
      </c>
      <c r="AM2" s="4">
        <v>4628981</v>
      </c>
      <c r="AN2" s="3">
        <v>445</v>
      </c>
      <c r="AO2" s="5">
        <v>9.6133468683496428</v>
      </c>
      <c r="AP2" s="4">
        <f>AM2-309170</f>
        <v>4319811</v>
      </c>
      <c r="AQ2" s="3">
        <f>AN2-12</f>
        <v>433</v>
      </c>
      <c r="AR2" s="16">
        <f>(AQ2/AP2)*100000</f>
        <v>10.023586680065401</v>
      </c>
      <c r="AS2" s="4">
        <v>4672840</v>
      </c>
      <c r="AT2" s="3">
        <v>480</v>
      </c>
      <c r="AU2" s="5">
        <v>10.272125730818946</v>
      </c>
      <c r="AV2" s="4">
        <f>AS2-315859</f>
        <v>4356981</v>
      </c>
      <c r="AW2" s="3">
        <f>AT2-24</f>
        <v>456</v>
      </c>
      <c r="AX2" s="16">
        <f>(AW2/AV2)*100000</f>
        <v>10.465962555264758</v>
      </c>
      <c r="AY2" s="4">
        <v>4718206</v>
      </c>
      <c r="AZ2" s="3">
        <v>454</v>
      </c>
      <c r="BA2" s="5">
        <v>9.6223013577618275</v>
      </c>
      <c r="BB2" s="4">
        <f>AY2-323526</f>
        <v>4394680</v>
      </c>
      <c r="BC2" s="3">
        <f>AZ2-19</f>
        <v>435</v>
      </c>
      <c r="BD2" s="16">
        <f>(BC2/BB2)*100000</f>
        <v>9.8983316191395048</v>
      </c>
      <c r="BE2" s="4">
        <v>4757938</v>
      </c>
      <c r="BF2" s="3">
        <v>410</v>
      </c>
      <c r="BG2" s="5">
        <v>8.6171782818523486</v>
      </c>
      <c r="BH2" s="4">
        <f>BE2-330856</f>
        <v>4427082</v>
      </c>
      <c r="BI2" s="3">
        <f>BF2-14</f>
        <v>396</v>
      </c>
      <c r="BJ2" s="16">
        <f>(BI2/BH2)*100000</f>
        <v>8.9449438704772124</v>
      </c>
      <c r="BK2" s="6">
        <v>4785514</v>
      </c>
      <c r="BL2" s="3">
        <v>390</v>
      </c>
      <c r="BM2" s="5">
        <v>8.1495947979673655</v>
      </c>
      <c r="BN2" s="4">
        <f>BK2-334811</f>
        <v>4450703</v>
      </c>
      <c r="BO2" s="3">
        <f>BL2-24</f>
        <v>366</v>
      </c>
      <c r="BP2" s="16">
        <f>(BO2/BN2)*100000</f>
        <v>8.2234199855618311</v>
      </c>
      <c r="BQ2" s="6">
        <v>4799642</v>
      </c>
      <c r="BR2" s="3">
        <v>390</v>
      </c>
      <c r="BS2" s="5">
        <v>8.1256060347834271</v>
      </c>
      <c r="BT2" s="4">
        <f>BQ2-340111</f>
        <v>4459531</v>
      </c>
      <c r="BU2" s="3">
        <f>BR2-16</f>
        <v>374</v>
      </c>
      <c r="BV2" s="16">
        <f>(BU2/BT2)*100000</f>
        <v>8.3865321263603736</v>
      </c>
      <c r="BW2" s="6">
        <v>4816632</v>
      </c>
      <c r="BX2" s="3">
        <v>402</v>
      </c>
      <c r="BY2" s="5">
        <v>8.3460808299243112</v>
      </c>
      <c r="BZ2" s="4">
        <f>BW2-343080</f>
        <v>4473552</v>
      </c>
      <c r="CA2" s="3">
        <f>BX2-19</f>
        <v>383</v>
      </c>
      <c r="CB2" s="16">
        <f>(CA2/BZ2)*100000</f>
        <v>8.5614294860102227</v>
      </c>
      <c r="CC2" s="6">
        <v>4831586</v>
      </c>
      <c r="CD2" s="3">
        <v>416</v>
      </c>
      <c r="CE2" s="5">
        <v>8.6100092185050627</v>
      </c>
      <c r="CF2" s="4">
        <f>CC2-346892</f>
        <v>4484694</v>
      </c>
      <c r="CG2" s="3">
        <f>CD2-31</f>
        <v>385</v>
      </c>
      <c r="CH2" s="16">
        <f>(CG2/CF2)*100000</f>
        <v>8.5847551694719861</v>
      </c>
      <c r="CI2" s="6">
        <v>4843737</v>
      </c>
      <c r="CJ2" s="3">
        <v>374</v>
      </c>
      <c r="CK2" s="5">
        <v>7.7213110455831933</v>
      </c>
      <c r="CL2" s="6">
        <f>CI2-350299</f>
        <v>4493438</v>
      </c>
      <c r="CM2" s="3">
        <f>CJ2-21</f>
        <v>353</v>
      </c>
      <c r="CN2" s="16">
        <f>(CM2/CL2)*100000</f>
        <v>7.8559000925349363</v>
      </c>
      <c r="CO2" s="6">
        <v>4854803</v>
      </c>
      <c r="CP2" s="3">
        <v>473</v>
      </c>
      <c r="CQ2" s="5">
        <v>9.7429288067919533</v>
      </c>
      <c r="CR2" s="4">
        <f>CO2-353089</f>
        <v>4501714</v>
      </c>
      <c r="CS2" s="3">
        <f>CP2-20</f>
        <v>453</v>
      </c>
      <c r="CT2" s="16">
        <f>(CS2/CR2)*100000</f>
        <v>10.062833845064347</v>
      </c>
      <c r="CU2" s="6">
        <v>4866824</v>
      </c>
      <c r="CV2" s="3">
        <v>544</v>
      </c>
      <c r="CW2" s="5">
        <v>11.177720829847145</v>
      </c>
      <c r="CX2" s="4">
        <f>CU2-356967</f>
        <v>4509857</v>
      </c>
      <c r="CY2" s="3">
        <f>CV2-25</f>
        <v>519</v>
      </c>
      <c r="CZ2" s="16">
        <f>(CY2/CX2)*100000</f>
        <v>11.50812542393251</v>
      </c>
      <c r="DA2" s="6">
        <v>4877989</v>
      </c>
      <c r="DB2" s="3">
        <v>602</v>
      </c>
      <c r="DC2" s="5">
        <v>12.341151240808456</v>
      </c>
      <c r="DD2" s="4">
        <f>DA2-361046</f>
        <v>4516943</v>
      </c>
      <c r="DE2" s="3">
        <f>DB2-34</f>
        <v>568</v>
      </c>
      <c r="DF2" s="16">
        <f>(DE2/DD2)*100000</f>
        <v>12.57487641531009</v>
      </c>
      <c r="DG2" s="6">
        <v>4891628</v>
      </c>
      <c r="DH2" s="3">
        <v>568</v>
      </c>
      <c r="DI2" s="5">
        <v>11.611676112737927</v>
      </c>
      <c r="DJ2" s="4">
        <f>DG2-366519</f>
        <v>4525109</v>
      </c>
      <c r="DK2" s="3">
        <f>DH2-37</f>
        <v>531</v>
      </c>
      <c r="DL2" s="16">
        <f>(DK2/DJ2)*100000</f>
        <v>11.734523963953134</v>
      </c>
      <c r="DM2" s="6">
        <v>4907965</v>
      </c>
      <c r="DN2" s="3">
        <v>587</v>
      </c>
      <c r="DO2" s="5">
        <v>11.960150490070733</v>
      </c>
      <c r="DP2" s="4">
        <f>DM2-372909</f>
        <v>4535056</v>
      </c>
      <c r="DQ2" s="3">
        <f>DN2-31</f>
        <v>556</v>
      </c>
      <c r="DR2" s="16">
        <f>(DQ2/DP2)*100000</f>
        <v>12.260047064468443</v>
      </c>
      <c r="DS2" s="6">
        <v>4903000</v>
      </c>
      <c r="DT2" s="3">
        <v>651</v>
      </c>
      <c r="DU2" s="5">
        <f>(DT2/DS2)*100000</f>
        <v>13.277585151947788</v>
      </c>
      <c r="DV2" s="4">
        <f>DS2-379453</f>
        <v>4523547</v>
      </c>
      <c r="DW2" s="3">
        <f>DT2-23</f>
        <v>628</v>
      </c>
      <c r="DX2" s="16">
        <f>(DW2/DV2)*100000</f>
        <v>13.88291091039841</v>
      </c>
      <c r="DY2" s="17"/>
    </row>
    <row r="3" spans="1:129" x14ac:dyDescent="0.3">
      <c r="A3" s="3" t="s">
        <v>126</v>
      </c>
      <c r="B3" s="3" t="s">
        <v>94</v>
      </c>
      <c r="C3" s="4">
        <v>2678588</v>
      </c>
      <c r="D3" s="3">
        <v>201</v>
      </c>
      <c r="E3" s="5">
        <v>7.5039535755405469</v>
      </c>
      <c r="F3" s="3">
        <f>C3-361474</f>
        <v>2317114</v>
      </c>
      <c r="G3" s="3">
        <f>D3-50</f>
        <v>151</v>
      </c>
      <c r="H3" s="16">
        <f>(G3/F3)*100000</f>
        <v>6.5167272736688835</v>
      </c>
      <c r="I3" s="4">
        <v>2691571</v>
      </c>
      <c r="J3" s="3">
        <v>180</v>
      </c>
      <c r="K3" s="5">
        <v>6.6875441888770544</v>
      </c>
      <c r="L3" s="3">
        <f>I3-362866</f>
        <v>2328705</v>
      </c>
      <c r="M3" s="3">
        <f>J3-48</f>
        <v>132</v>
      </c>
      <c r="N3" s="16">
        <f>(M3/L3)*100000</f>
        <v>5.668386506663575</v>
      </c>
      <c r="O3" s="4">
        <v>2705927</v>
      </c>
      <c r="P3" s="3">
        <v>194</v>
      </c>
      <c r="Q3" s="5">
        <v>7.1694469215170997</v>
      </c>
      <c r="R3" s="3">
        <f>O3-364327</f>
        <v>2341600</v>
      </c>
      <c r="S3" s="3">
        <f>P3-54</f>
        <v>140</v>
      </c>
      <c r="T3" s="16">
        <f>(S3/R3)*100000</f>
        <v>5.9788179022890331</v>
      </c>
      <c r="U3" s="4">
        <v>2724816</v>
      </c>
      <c r="V3" s="3">
        <v>194</v>
      </c>
      <c r="W3" s="5">
        <v>7.1197468012519014</v>
      </c>
      <c r="X3" s="3">
        <f>U3-365258</f>
        <v>2359558</v>
      </c>
      <c r="Y3" s="3">
        <f>V3-59</f>
        <v>135</v>
      </c>
      <c r="Z3" s="16">
        <f>(Y3/X3)*100000</f>
        <v>5.7214105353629794</v>
      </c>
      <c r="AA3" s="4">
        <v>2749686</v>
      </c>
      <c r="AB3" s="3">
        <v>208</v>
      </c>
      <c r="AC3" s="5">
        <v>7.5645000920105057</v>
      </c>
      <c r="AD3" s="3">
        <f>AA3-366608</f>
        <v>2383078</v>
      </c>
      <c r="AE3" s="3">
        <f>AB3-54</f>
        <v>154</v>
      </c>
      <c r="AF3" s="16">
        <f>(AE3/AD3)*100000</f>
        <v>6.4622307788498743</v>
      </c>
      <c r="AG3" s="4">
        <v>2781097</v>
      </c>
      <c r="AH3" s="3">
        <v>216</v>
      </c>
      <c r="AI3" s="5">
        <v>7.7667193916645125</v>
      </c>
      <c r="AJ3" s="3">
        <f>AG3-368274</f>
        <v>2412823</v>
      </c>
      <c r="AK3" s="3">
        <f>AH3-52</f>
        <v>164</v>
      </c>
      <c r="AL3" s="16">
        <f>(AK3/AJ3)*100000</f>
        <v>6.7970174355930792</v>
      </c>
      <c r="AM3" s="4">
        <v>2821761</v>
      </c>
      <c r="AN3" s="3">
        <v>232</v>
      </c>
      <c r="AO3" s="5">
        <v>8.2218160928583242</v>
      </c>
      <c r="AP3" s="3">
        <f>AM3-371647</f>
        <v>2450114</v>
      </c>
      <c r="AQ3" s="3">
        <f>AN3-80</f>
        <v>152</v>
      </c>
      <c r="AR3" s="16">
        <f>(AQ3/AP3)*100000</f>
        <v>6.2037929663680957</v>
      </c>
      <c r="AS3" s="4">
        <v>2848650</v>
      </c>
      <c r="AT3" s="3">
        <v>241</v>
      </c>
      <c r="AU3" s="5">
        <v>8.460147789303706</v>
      </c>
      <c r="AV3" s="3">
        <f>AS3-373403</f>
        <v>2475247</v>
      </c>
      <c r="AW3" s="3">
        <f>AT3-78</f>
        <v>163</v>
      </c>
      <c r="AX3" s="16">
        <f>(AW3/AV3)*100000</f>
        <v>6.5852013960626961</v>
      </c>
      <c r="AY3" s="4">
        <v>2874554</v>
      </c>
      <c r="AZ3" s="3">
        <v>213</v>
      </c>
      <c r="BA3" s="5">
        <v>7.4098451446728779</v>
      </c>
      <c r="BB3" s="3">
        <f>AY3-376567</f>
        <v>2497987</v>
      </c>
      <c r="BC3" s="3">
        <f>AZ3-61</f>
        <v>152</v>
      </c>
      <c r="BD3" s="16">
        <f>(BC3/BB3)*100000</f>
        <v>6.084899561126619</v>
      </c>
      <c r="BE3" s="4">
        <v>2896843</v>
      </c>
      <c r="BF3" s="3">
        <v>218</v>
      </c>
      <c r="BG3" s="5">
        <v>7.5254337221589163</v>
      </c>
      <c r="BH3" s="3">
        <f>BE3-380053</f>
        <v>2516790</v>
      </c>
      <c r="BI3" s="3">
        <f>BF3-48</f>
        <v>170</v>
      </c>
      <c r="BJ3" s="16">
        <f>(BI3/BH3)*100000</f>
        <v>6.7546358655271197</v>
      </c>
      <c r="BK3" s="6">
        <v>2921998</v>
      </c>
      <c r="BL3" s="3">
        <v>184</v>
      </c>
      <c r="BM3" s="5">
        <v>6.2970611205072693</v>
      </c>
      <c r="BN3" s="3">
        <f>BK3-382748</f>
        <v>2539250</v>
      </c>
      <c r="BO3" s="3">
        <f>BL3-39</f>
        <v>145</v>
      </c>
      <c r="BP3" s="16">
        <f>(BO3/BN3)*100000</f>
        <v>5.710347543566014</v>
      </c>
      <c r="BQ3" s="6">
        <v>2941038</v>
      </c>
      <c r="BR3" s="3">
        <v>204</v>
      </c>
      <c r="BS3" s="5">
        <v>6.9363265622545507</v>
      </c>
      <c r="BT3" s="3">
        <f>BQ3-386299</f>
        <v>2554739</v>
      </c>
      <c r="BU3" s="3">
        <f>BR3-58</f>
        <v>146</v>
      </c>
      <c r="BV3" s="16">
        <f>(BU3/BT3)*100000</f>
        <v>5.7148695033034684</v>
      </c>
      <c r="BW3" s="6">
        <v>2952876</v>
      </c>
      <c r="BX3" s="3">
        <v>235</v>
      </c>
      <c r="BY3" s="5">
        <v>7.9583429849407832</v>
      </c>
      <c r="BZ3" s="3">
        <f>BW3-388953</f>
        <v>2563923</v>
      </c>
      <c r="CA3" s="3">
        <f>BX3-58</f>
        <v>177</v>
      </c>
      <c r="CB3" s="16">
        <f>(CA3/BZ3)*100000</f>
        <v>6.9034834509460694</v>
      </c>
      <c r="CC3" s="6">
        <v>2960459</v>
      </c>
      <c r="CD3" s="3">
        <v>210</v>
      </c>
      <c r="CE3" s="5">
        <v>7.0934946236377536</v>
      </c>
      <c r="CF3" s="3">
        <f>CC3-391284</f>
        <v>2569175</v>
      </c>
      <c r="CG3" s="3">
        <f>CD3-51</f>
        <v>159</v>
      </c>
      <c r="CH3" s="16">
        <f>(CG3/CF3)*100000</f>
        <v>6.1887570912841676</v>
      </c>
      <c r="CI3" s="6">
        <v>2968759</v>
      </c>
      <c r="CJ3" s="3">
        <v>217</v>
      </c>
      <c r="CK3" s="5">
        <v>7.3094515250311654</v>
      </c>
      <c r="CL3" s="3">
        <f>CI3-392702</f>
        <v>2576057</v>
      </c>
      <c r="CM3" s="3">
        <f>CJ3-63</f>
        <v>154</v>
      </c>
      <c r="CN3" s="16">
        <f>(CM3/CL3)*100000</f>
        <v>5.9781285895459613</v>
      </c>
      <c r="CO3" s="6">
        <v>2979732</v>
      </c>
      <c r="CP3" s="3">
        <v>217</v>
      </c>
      <c r="CQ3" s="5">
        <v>7.2825341339422476</v>
      </c>
      <c r="CR3" s="3">
        <f>CO3-392664</f>
        <v>2587068</v>
      </c>
      <c r="CS3" s="3">
        <f>CP3-56</f>
        <v>161</v>
      </c>
      <c r="CT3" s="16">
        <f>(CS3/CR3)*100000</f>
        <v>6.2232612362721049</v>
      </c>
      <c r="CU3" s="6">
        <v>2991815</v>
      </c>
      <c r="CV3" s="3">
        <v>248</v>
      </c>
      <c r="CW3" s="5">
        <v>8.2892825926736791</v>
      </c>
      <c r="CX3" s="3">
        <f>CU3-393250</f>
        <v>2598565</v>
      </c>
      <c r="CY3" s="3">
        <f>CV3-64</f>
        <v>184</v>
      </c>
      <c r="CZ3" s="16">
        <f>(CY3/CX3)*100000</f>
        <v>7.0808311510391313</v>
      </c>
      <c r="DA3" s="6">
        <v>3003855</v>
      </c>
      <c r="DB3" s="3">
        <v>278</v>
      </c>
      <c r="DC3" s="5">
        <v>9.2547742817146634</v>
      </c>
      <c r="DD3" s="3">
        <f>DA3-393956</f>
        <v>2609899</v>
      </c>
      <c r="DE3" s="3">
        <f>DB3-71</f>
        <v>207</v>
      </c>
      <c r="DF3" s="16">
        <f>(DE3/DD3)*100000</f>
        <v>7.9313414043991735</v>
      </c>
      <c r="DG3" s="6">
        <v>3012161</v>
      </c>
      <c r="DH3" s="3">
        <v>264</v>
      </c>
      <c r="DI3" s="5">
        <v>8.7644717530039067</v>
      </c>
      <c r="DJ3" s="3">
        <f>DG3-392680</f>
        <v>2619481</v>
      </c>
      <c r="DK3" s="3">
        <f>DH3-62</f>
        <v>202</v>
      </c>
      <c r="DL3" s="16">
        <f>(DK3/DJ3)*100000</f>
        <v>7.7114512378597135</v>
      </c>
      <c r="DM3" s="6">
        <v>3020985</v>
      </c>
      <c r="DN3" s="3">
        <v>270</v>
      </c>
      <c r="DO3" s="5">
        <v>8.9374823112329267</v>
      </c>
      <c r="DP3" s="3">
        <f>DM3-391911</f>
        <v>2629074</v>
      </c>
      <c r="DQ3" s="3">
        <f>DN3-63</f>
        <v>207</v>
      </c>
      <c r="DR3" s="16">
        <f>(DQ3/DP3)*100000</f>
        <v>7.8734946220608464</v>
      </c>
      <c r="DS3" s="6">
        <v>3011524</v>
      </c>
      <c r="DT3" s="3">
        <v>369</v>
      </c>
      <c r="DU3" s="5">
        <f>(DT3/DS3)*100000</f>
        <v>12.252932402331842</v>
      </c>
      <c r="DV3" s="4">
        <f>DS3-392980</f>
        <v>2618544</v>
      </c>
      <c r="DW3" s="3">
        <f>DT3-94</f>
        <v>275</v>
      </c>
      <c r="DX3" s="16">
        <f>(DW3/DV3)*100000</f>
        <v>10.50201944286596</v>
      </c>
      <c r="DY3" s="17"/>
    </row>
    <row r="4" spans="1:129" x14ac:dyDescent="0.3">
      <c r="A4" s="3" t="s">
        <v>127</v>
      </c>
      <c r="B4" s="3" t="s">
        <v>94</v>
      </c>
      <c r="C4" s="4">
        <v>4049021</v>
      </c>
      <c r="D4" s="3">
        <v>203</v>
      </c>
      <c r="E4" s="5">
        <v>5.0135575982441187</v>
      </c>
      <c r="F4" s="3">
        <f>C4-693604</f>
        <v>3355417</v>
      </c>
      <c r="G4" s="3">
        <f>D4-63</f>
        <v>140</v>
      </c>
      <c r="H4" s="16">
        <f>(G4/F4)*100000</f>
        <v>4.1723577129161589</v>
      </c>
      <c r="I4" s="4">
        <v>4068132</v>
      </c>
      <c r="J4" s="3">
        <v>218</v>
      </c>
      <c r="K4" s="5">
        <v>5.3587248398036254</v>
      </c>
      <c r="L4" s="3">
        <f>I4-697159</f>
        <v>3370973</v>
      </c>
      <c r="M4" s="3">
        <f>J4-45</f>
        <v>173</v>
      </c>
      <c r="N4" s="16">
        <f>(M4/L4)*100000</f>
        <v>5.132049411253071</v>
      </c>
      <c r="O4" s="4">
        <v>4089875</v>
      </c>
      <c r="P4" s="3">
        <v>194</v>
      </c>
      <c r="Q4" s="5">
        <v>4.7434212537057983</v>
      </c>
      <c r="R4" s="3">
        <f>O4-699810</f>
        <v>3390065</v>
      </c>
      <c r="S4" s="3">
        <f>P4-56</f>
        <v>138</v>
      </c>
      <c r="T4" s="16">
        <f>(S4/R4)*100000</f>
        <v>4.0707184080541232</v>
      </c>
      <c r="U4" s="4">
        <v>4117170</v>
      </c>
      <c r="V4" s="3">
        <v>190</v>
      </c>
      <c r="W4" s="5">
        <v>4.6148203741890663</v>
      </c>
      <c r="X4" s="3">
        <f>U4-703970</f>
        <v>3413200</v>
      </c>
      <c r="Y4" s="3">
        <f>V4-47</f>
        <v>143</v>
      </c>
      <c r="Z4" s="16">
        <f>(Y4/X4)*100000</f>
        <v>4.189616781905543</v>
      </c>
      <c r="AA4" s="4">
        <v>4146101</v>
      </c>
      <c r="AB4" s="3">
        <v>228</v>
      </c>
      <c r="AC4" s="5">
        <v>5.4991424473258128</v>
      </c>
      <c r="AD4" s="3">
        <f>AA4-706828</f>
        <v>3439273</v>
      </c>
      <c r="AE4" s="3">
        <f>AB4-66</f>
        <v>162</v>
      </c>
      <c r="AF4" s="16">
        <f>(AE4/AD4)*100000</f>
        <v>4.7102977867706342</v>
      </c>
      <c r="AG4" s="4">
        <v>4182742</v>
      </c>
      <c r="AH4" s="3">
        <v>222</v>
      </c>
      <c r="AI4" s="5">
        <v>5.3075231510812761</v>
      </c>
      <c r="AJ4" s="3">
        <f>AG4-710018</f>
        <v>3472724</v>
      </c>
      <c r="AK4" s="3">
        <f>AH4-65</f>
        <v>157</v>
      </c>
      <c r="AL4" s="16">
        <f>(AK4/AJ4)*100000</f>
        <v>4.5209466689549762</v>
      </c>
      <c r="AM4" s="4">
        <v>4219239</v>
      </c>
      <c r="AN4" s="3">
        <v>191</v>
      </c>
      <c r="AO4" s="5">
        <v>4.5268826914047766</v>
      </c>
      <c r="AP4" s="3">
        <f>AM4-715149</f>
        <v>3504090</v>
      </c>
      <c r="AQ4" s="3">
        <f>AN4-54</f>
        <v>137</v>
      </c>
      <c r="AR4" s="16">
        <f>(AQ4/AP4)*100000</f>
        <v>3.9097169307865953</v>
      </c>
      <c r="AS4" s="4">
        <v>4256672</v>
      </c>
      <c r="AT4" s="3">
        <v>213</v>
      </c>
      <c r="AU4" s="5">
        <v>5.0039091572007433</v>
      </c>
      <c r="AV4" s="3">
        <f>AS4-723040</f>
        <v>3533632</v>
      </c>
      <c r="AW4" s="3">
        <f>AT4-80</f>
        <v>133</v>
      </c>
      <c r="AX4" s="16">
        <f>(AW4/AV4)*100000</f>
        <v>3.7638327930016482</v>
      </c>
      <c r="AY4" s="4">
        <v>4289878</v>
      </c>
      <c r="AZ4" s="3">
        <v>240</v>
      </c>
      <c r="BA4" s="5">
        <v>5.5945646939143723</v>
      </c>
      <c r="BB4" s="3">
        <f>AY4-730194</f>
        <v>3559684</v>
      </c>
      <c r="BC4" s="3">
        <f>AZ4-74</f>
        <v>166</v>
      </c>
      <c r="BD4" s="16">
        <f>(BC4/BB4)*100000</f>
        <v>4.6633352848174168</v>
      </c>
      <c r="BE4" s="4">
        <v>4317074</v>
      </c>
      <c r="BF4" s="3">
        <v>207</v>
      </c>
      <c r="BG4" s="5">
        <v>4.794914333180297</v>
      </c>
      <c r="BH4" s="3">
        <f>BE4-736705</f>
        <v>3580369</v>
      </c>
      <c r="BI4" s="3">
        <f>BF4-63</f>
        <v>144</v>
      </c>
      <c r="BJ4" s="16">
        <f>(BI4/BH4)*100000</f>
        <v>4.02193181764226</v>
      </c>
      <c r="BK4" s="6">
        <v>4348464</v>
      </c>
      <c r="BL4" s="3">
        <v>199</v>
      </c>
      <c r="BM4" s="5">
        <v>4.5763285610735194</v>
      </c>
      <c r="BN4" s="3">
        <f>BK4-741096</f>
        <v>3607368</v>
      </c>
      <c r="BO4" s="3">
        <f>BL4-60</f>
        <v>139</v>
      </c>
      <c r="BP4" s="16">
        <f>(BO4/BN4)*100000</f>
        <v>3.853224844263186</v>
      </c>
      <c r="BQ4" s="6">
        <v>4370817</v>
      </c>
      <c r="BR4" s="3">
        <v>186</v>
      </c>
      <c r="BS4" s="5">
        <v>4.2554973132025431</v>
      </c>
      <c r="BT4" s="3">
        <f>BQ4-746906</f>
        <v>3623911</v>
      </c>
      <c r="BU4" s="3">
        <f>BR4-59</f>
        <v>127</v>
      </c>
      <c r="BV4" s="16">
        <f>(BU4/BT4)*100000</f>
        <v>3.5045010763233426</v>
      </c>
      <c r="BW4" s="6">
        <v>4387865</v>
      </c>
      <c r="BX4" s="3">
        <v>234</v>
      </c>
      <c r="BY4" s="5">
        <v>5.3328896855304349</v>
      </c>
      <c r="BZ4" s="3">
        <f>BW4-750828</f>
        <v>3637037</v>
      </c>
      <c r="CA4" s="3">
        <f>BX4-67</f>
        <v>167</v>
      </c>
      <c r="CB4" s="16">
        <f>(CA4/BZ4)*100000</f>
        <v>4.5916497412591628</v>
      </c>
      <c r="CC4" s="6">
        <v>4406906</v>
      </c>
      <c r="CD4" s="3">
        <v>200</v>
      </c>
      <c r="CE4" s="5">
        <v>4.5383314279905225</v>
      </c>
      <c r="CF4" s="3">
        <f>CC4-756832</f>
        <v>3650074</v>
      </c>
      <c r="CG4" s="3">
        <f>CD4-57</f>
        <v>143</v>
      </c>
      <c r="CH4" s="16">
        <f>(CG4/CF4)*100000</f>
        <v>3.9177287912519034</v>
      </c>
      <c r="CI4" s="6">
        <v>4416992</v>
      </c>
      <c r="CJ4" s="3">
        <v>203</v>
      </c>
      <c r="CK4" s="5">
        <v>4.5958878802587826</v>
      </c>
      <c r="CL4" s="3">
        <f>CI4-760026</f>
        <v>3656966</v>
      </c>
      <c r="CM4" s="3">
        <f>CJ4-62</f>
        <v>141</v>
      </c>
      <c r="CN4" s="16">
        <f>(CM4/CL4)*100000</f>
        <v>3.8556552070760297</v>
      </c>
      <c r="CO4" s="6">
        <v>4429126</v>
      </c>
      <c r="CP4" s="3">
        <v>250</v>
      </c>
      <c r="CQ4" s="5">
        <v>5.6444544589609782</v>
      </c>
      <c r="CR4" s="3">
        <f>CO4-763623</f>
        <v>3665503</v>
      </c>
      <c r="CS4" s="3">
        <f>CP4-93</f>
        <v>157</v>
      </c>
      <c r="CT4" s="16">
        <f>(CS4/CR4)*100000</f>
        <v>4.2831775066068696</v>
      </c>
      <c r="CU4" s="6">
        <v>4440306</v>
      </c>
      <c r="CV4" s="3">
        <v>302</v>
      </c>
      <c r="CW4" s="5">
        <v>6.80133306128001</v>
      </c>
      <c r="CX4" s="3">
        <f>CU4-765352</f>
        <v>3674954</v>
      </c>
      <c r="CY4" s="3">
        <f>CV4-118</f>
        <v>184</v>
      </c>
      <c r="CZ4" s="16">
        <f>(CY4/CX4)*100000</f>
        <v>5.006865392056608</v>
      </c>
      <c r="DA4" s="6">
        <v>4455590</v>
      </c>
      <c r="DB4" s="3">
        <v>310</v>
      </c>
      <c r="DC4" s="5">
        <v>6.9575521984742768</v>
      </c>
      <c r="DD4" s="3">
        <f>DA4-771158</f>
        <v>3684432</v>
      </c>
      <c r="DE4" s="3">
        <f>DB4-114</f>
        <v>196</v>
      </c>
      <c r="DF4" s="16">
        <f>(DE4/DD4)*100000</f>
        <v>5.3196802112238739</v>
      </c>
      <c r="DG4" s="6">
        <v>4464273</v>
      </c>
      <c r="DH4" s="3">
        <v>258</v>
      </c>
      <c r="DI4" s="5">
        <v>5.7792164592084756</v>
      </c>
      <c r="DJ4" s="3">
        <f>DG4-770517</f>
        <v>3693756</v>
      </c>
      <c r="DK4" s="3">
        <f>DH4-86</f>
        <v>172</v>
      </c>
      <c r="DL4" s="16">
        <f>(DK4/DJ4)*100000</f>
        <v>4.6565068185337637</v>
      </c>
      <c r="DM4" s="6">
        <v>4472345</v>
      </c>
      <c r="DN4" s="3">
        <v>250</v>
      </c>
      <c r="DO4" s="5">
        <v>5.5899086497128465</v>
      </c>
      <c r="DP4" s="3">
        <f>DM4-766757</f>
        <v>3705588</v>
      </c>
      <c r="DQ4" s="3">
        <f>DN4-97</f>
        <v>153</v>
      </c>
      <c r="DR4" s="16">
        <f>(DQ4/DP4)*100000</f>
        <v>4.1288993811508456</v>
      </c>
      <c r="DS4" s="6">
        <v>4468000</v>
      </c>
      <c r="DT4" s="3">
        <v>404</v>
      </c>
      <c r="DU4" s="5">
        <f>(DT4/DS4)*100000</f>
        <v>9.0420769919427038</v>
      </c>
      <c r="DV4" s="4">
        <f>DS4-767452</f>
        <v>3700548</v>
      </c>
      <c r="DW4" s="3">
        <f>DT4-176</f>
        <v>228</v>
      </c>
      <c r="DX4" s="16">
        <f>(DW4/DV4)*100000</f>
        <v>6.1612496311357132</v>
      </c>
      <c r="DY4" s="17"/>
    </row>
    <row r="5" spans="1:129" x14ac:dyDescent="0.3">
      <c r="A5" s="3" t="s">
        <v>128</v>
      </c>
      <c r="B5" s="3" t="s">
        <v>94</v>
      </c>
      <c r="C5" s="4">
        <v>4471885</v>
      </c>
      <c r="D5" s="3">
        <v>596</v>
      </c>
      <c r="E5" s="5">
        <v>13.327713033765404</v>
      </c>
      <c r="F5" s="3">
        <f>C5-484674</f>
        <v>3987211</v>
      </c>
      <c r="G5" s="3">
        <f>D5-187</f>
        <v>409</v>
      </c>
      <c r="H5" s="16">
        <f>(G5/F5)*100000</f>
        <v>10.257796740628976</v>
      </c>
      <c r="I5" s="4">
        <v>4477875</v>
      </c>
      <c r="J5" s="3">
        <v>533</v>
      </c>
      <c r="K5" s="5">
        <v>11.902967367333837</v>
      </c>
      <c r="L5" s="3">
        <f>I5-487363</f>
        <v>3990512</v>
      </c>
      <c r="M5" s="3">
        <f>J5-191</f>
        <v>342</v>
      </c>
      <c r="N5" s="16">
        <f>(M5/L5)*100000</f>
        <v>8.5703288199609471</v>
      </c>
      <c r="O5" s="4">
        <v>4497267</v>
      </c>
      <c r="P5" s="3">
        <v>601</v>
      </c>
      <c r="Q5" s="5">
        <v>13.363671758870444</v>
      </c>
      <c r="R5" s="3">
        <f>O5-489722</f>
        <v>4007545</v>
      </c>
      <c r="S5" s="3">
        <f>P5-236</f>
        <v>365</v>
      </c>
      <c r="T5" s="16">
        <f>(S5/R5)*100000</f>
        <v>9.107820373819882</v>
      </c>
      <c r="U5" s="4">
        <v>4521042</v>
      </c>
      <c r="V5" s="3">
        <v>599</v>
      </c>
      <c r="W5" s="5">
        <v>13.249158048078298</v>
      </c>
      <c r="X5" s="3">
        <f>U5-492187</f>
        <v>4028855</v>
      </c>
      <c r="Y5" s="3">
        <f>V5-245</f>
        <v>354</v>
      </c>
      <c r="Z5" s="16">
        <f>(Y5/X5)*100000</f>
        <v>8.7866155520613187</v>
      </c>
      <c r="AA5" s="4">
        <v>4552238</v>
      </c>
      <c r="AB5" s="3">
        <v>600</v>
      </c>
      <c r="AC5" s="5">
        <v>13.180330202419119</v>
      </c>
      <c r="AD5" s="3">
        <f>AA5-493765</f>
        <v>4058473</v>
      </c>
      <c r="AE5" s="3">
        <f>AB5-245</f>
        <v>355</v>
      </c>
      <c r="AF5" s="16">
        <f>(AE5/AD5)*100000</f>
        <v>8.7471322342171547</v>
      </c>
      <c r="AG5" s="4">
        <v>4576628</v>
      </c>
      <c r="AH5" s="3">
        <v>586</v>
      </c>
      <c r="AI5" s="5">
        <v>12.804186837995134</v>
      </c>
      <c r="AJ5" s="3">
        <f>AG5-494294</f>
        <v>4082334</v>
      </c>
      <c r="AK5" s="3">
        <f>AH5-218</f>
        <v>368</v>
      </c>
      <c r="AL5" s="16">
        <f>(AK5/AJ5)*100000</f>
        <v>9.0144510468766157</v>
      </c>
      <c r="AM5" s="4">
        <v>4302665</v>
      </c>
      <c r="AN5" s="3">
        <v>552</v>
      </c>
      <c r="AO5" s="5">
        <v>12.829258145823577</v>
      </c>
      <c r="AP5" s="3">
        <f>AM5-230172</f>
        <v>4072493</v>
      </c>
      <c r="AQ5" s="3">
        <f>AN5-149</f>
        <v>403</v>
      </c>
      <c r="AR5" s="16">
        <f>(AQ5/AP5)*100000</f>
        <v>9.8956585069636702</v>
      </c>
      <c r="AS5" s="4">
        <v>4375581</v>
      </c>
      <c r="AT5" s="3">
        <v>622</v>
      </c>
      <c r="AU5" s="5">
        <v>14.215255071269391</v>
      </c>
      <c r="AV5" s="3">
        <f>AS5-268751</f>
        <v>4106830</v>
      </c>
      <c r="AW5" s="3">
        <f>AT5-185</f>
        <v>437</v>
      </c>
      <c r="AX5" s="16">
        <f>(AW5/AV5)*100000</f>
        <v>10.640810552177713</v>
      </c>
      <c r="AY5" s="4">
        <v>4435586</v>
      </c>
      <c r="AZ5" s="3">
        <v>538</v>
      </c>
      <c r="BA5" s="5">
        <v>12.129175265680791</v>
      </c>
      <c r="BB5" s="3">
        <f>AY5-301842</f>
        <v>4133744</v>
      </c>
      <c r="BC5" s="3">
        <f>AZ5-151</f>
        <v>387</v>
      </c>
      <c r="BD5" s="16">
        <f>(BC5/BB5)*100000</f>
        <v>9.3619730684822287</v>
      </c>
      <c r="BE5" s="4">
        <v>4491648</v>
      </c>
      <c r="BF5" s="3">
        <v>571</v>
      </c>
      <c r="BG5" s="5">
        <v>12.712483257815393</v>
      </c>
      <c r="BH5" s="3">
        <f>BE5-327803</f>
        <v>4163845</v>
      </c>
      <c r="BI5" s="3">
        <f>BF5-156</f>
        <v>415</v>
      </c>
      <c r="BJ5" s="16">
        <f>(BI5/BH5)*100000</f>
        <v>9.9667494827497176</v>
      </c>
      <c r="BK5" s="6">
        <v>4544635</v>
      </c>
      <c r="BL5" s="3">
        <v>537</v>
      </c>
      <c r="BM5" s="5">
        <v>11.816130448319832</v>
      </c>
      <c r="BN5" s="3">
        <f>BK5-343829</f>
        <v>4200806</v>
      </c>
      <c r="BO5" s="3">
        <f>BL5-155</f>
        <v>382</v>
      </c>
      <c r="BP5" s="16">
        <f>(BO5/BN5)*100000</f>
        <v>9.0934930106270091</v>
      </c>
      <c r="BQ5" s="6">
        <v>4576244</v>
      </c>
      <c r="BR5" s="3">
        <v>542</v>
      </c>
      <c r="BS5" s="5">
        <v>11.843774064494813</v>
      </c>
      <c r="BT5" s="3">
        <f>BQ5-360740</f>
        <v>4215504</v>
      </c>
      <c r="BU5" s="3">
        <f>BR5-174</f>
        <v>368</v>
      </c>
      <c r="BV5" s="16">
        <f>(BU5/BT5)*100000</f>
        <v>8.7296797725728634</v>
      </c>
      <c r="BW5" s="6">
        <v>4602067</v>
      </c>
      <c r="BX5" s="3">
        <v>543</v>
      </c>
      <c r="BY5" s="5">
        <v>11.799045950439226</v>
      </c>
      <c r="BZ5" s="3">
        <f>BW5-369250</f>
        <v>4232817</v>
      </c>
      <c r="CA5" s="3">
        <f>BX5-164</f>
        <v>379</v>
      </c>
      <c r="CB5" s="16">
        <f>(CA5/BZ5)*100000</f>
        <v>8.9538479929559909</v>
      </c>
      <c r="CC5" s="6">
        <v>4626040</v>
      </c>
      <c r="CD5" s="3">
        <v>549</v>
      </c>
      <c r="CE5" s="5">
        <v>11.867601663625909</v>
      </c>
      <c r="CF5" s="3">
        <f>CC5-378715</f>
        <v>4247325</v>
      </c>
      <c r="CG5" s="3">
        <f>CD5-150</f>
        <v>399</v>
      </c>
      <c r="CH5" s="16">
        <f>(CG5/CF5)*100000</f>
        <v>9.3941480814394946</v>
      </c>
      <c r="CI5" s="6">
        <v>4645938</v>
      </c>
      <c r="CJ5" s="3">
        <v>538</v>
      </c>
      <c r="CK5" s="5">
        <v>11.580008170578255</v>
      </c>
      <c r="CL5" s="3">
        <f>CI5-384320</f>
        <v>4261618</v>
      </c>
      <c r="CM5" s="3">
        <f>CJ5-139</f>
        <v>399</v>
      </c>
      <c r="CN5" s="16">
        <f>(CM5/CL5)*100000</f>
        <v>9.3626411377087297</v>
      </c>
      <c r="CO5" s="6">
        <v>4666998</v>
      </c>
      <c r="CP5" s="3">
        <v>569</v>
      </c>
      <c r="CQ5" s="5">
        <v>12.191991511459829</v>
      </c>
      <c r="CR5" s="3">
        <f>CO5-389617</f>
        <v>4277381</v>
      </c>
      <c r="CS5" s="3">
        <f>CP5-157</f>
        <v>412</v>
      </c>
      <c r="CT5" s="16">
        <f>(CS5/CR5)*100000</f>
        <v>9.6320622362141695</v>
      </c>
      <c r="CU5" s="6">
        <v>4681346</v>
      </c>
      <c r="CV5" s="3">
        <v>648</v>
      </c>
      <c r="CW5" s="5">
        <v>13.842172742625731</v>
      </c>
      <c r="CX5" s="3">
        <f>CU5-391495</f>
        <v>4289851</v>
      </c>
      <c r="CY5" s="3">
        <f>CV5-143</f>
        <v>505</v>
      </c>
      <c r="CZ5" s="16">
        <f>(CY5/CX5)*100000</f>
        <v>11.77197063487753</v>
      </c>
      <c r="DA5" s="6">
        <v>4673673</v>
      </c>
      <c r="DB5" s="3">
        <v>653</v>
      </c>
      <c r="DC5" s="5">
        <v>13.971880360478792</v>
      </c>
      <c r="DD5" s="3">
        <f>DA5-393292</f>
        <v>4280381</v>
      </c>
      <c r="DE5" s="3">
        <f>DB5-137</f>
        <v>516</v>
      </c>
      <c r="DF5" s="16">
        <f>(DE5/DD5)*100000</f>
        <v>12.055001645881523</v>
      </c>
      <c r="DG5" s="6">
        <v>4664450</v>
      </c>
      <c r="DH5" s="3">
        <v>598</v>
      </c>
      <c r="DI5" s="5">
        <v>12.820375392597199</v>
      </c>
      <c r="DJ5" s="3">
        <f>DG5-391006</f>
        <v>4273444</v>
      </c>
      <c r="DK5" s="3">
        <f>DH5-117</f>
        <v>481</v>
      </c>
      <c r="DL5" s="16">
        <f>(DK5/DJ5)*100000</f>
        <v>11.255558748400587</v>
      </c>
      <c r="DM5" s="6">
        <v>4658285</v>
      </c>
      <c r="DN5" s="3">
        <v>650</v>
      </c>
      <c r="DO5" s="5">
        <v>13.953633150397627</v>
      </c>
      <c r="DP5" s="3">
        <f>DM5-390144</f>
        <v>4268141</v>
      </c>
      <c r="DQ5" s="3">
        <f>DN5-111</f>
        <v>539</v>
      </c>
      <c r="DR5" s="16">
        <f>(DQ5/DP5)*100000</f>
        <v>12.628448778988322</v>
      </c>
      <c r="DS5" s="6">
        <v>4649000</v>
      </c>
      <c r="DT5" s="3">
        <v>870</v>
      </c>
      <c r="DU5" s="5">
        <f>(DT5/DS5)*100000</f>
        <v>18.713701871370187</v>
      </c>
      <c r="DV5" s="4">
        <f>DS5-389476</f>
        <v>4259524</v>
      </c>
      <c r="DW5" s="3">
        <f>DT5-182</f>
        <v>688</v>
      </c>
      <c r="DX5" s="16">
        <f>(DW5/DV5)*100000</f>
        <v>16.152039523665085</v>
      </c>
      <c r="DY5" s="17"/>
    </row>
    <row r="6" spans="1:129" x14ac:dyDescent="0.3">
      <c r="A6" s="3" t="s">
        <v>129</v>
      </c>
      <c r="B6" s="3" t="s">
        <v>94</v>
      </c>
      <c r="C6" s="4">
        <v>2848353</v>
      </c>
      <c r="D6" s="3">
        <v>311</v>
      </c>
      <c r="E6" s="5">
        <v>10.918590497736762</v>
      </c>
      <c r="F6" s="3">
        <f>C6-250800</f>
        <v>2597553</v>
      </c>
      <c r="G6" s="3">
        <f>D6-51</f>
        <v>260</v>
      </c>
      <c r="H6" s="16">
        <f>(G6/F6)*100000</f>
        <v>10.009420404511477</v>
      </c>
      <c r="I6" s="4">
        <v>2852994</v>
      </c>
      <c r="J6" s="3">
        <v>325</v>
      </c>
      <c r="K6" s="5">
        <v>11.391541657641062</v>
      </c>
      <c r="L6" s="3">
        <f>I6-248941</f>
        <v>2604053</v>
      </c>
      <c r="M6" s="3">
        <f>J6-47</f>
        <v>278</v>
      </c>
      <c r="N6" s="16">
        <f>(M6/L6)*100000</f>
        <v>10.675665971468323</v>
      </c>
      <c r="O6" s="4">
        <v>2858681</v>
      </c>
      <c r="P6" s="3">
        <v>302</v>
      </c>
      <c r="Q6" s="5">
        <v>10.564312702256739</v>
      </c>
      <c r="R6" s="3">
        <f>O6-247857</f>
        <v>2610824</v>
      </c>
      <c r="S6" s="3">
        <f>P6-49</f>
        <v>253</v>
      </c>
      <c r="T6" s="16">
        <f>(S6/R6)*100000</f>
        <v>9.6904272367650979</v>
      </c>
      <c r="U6" s="4">
        <v>2868312</v>
      </c>
      <c r="V6" s="3">
        <v>300</v>
      </c>
      <c r="W6" s="5">
        <v>10.459113234543523</v>
      </c>
      <c r="X6" s="3">
        <f>U6-247449</f>
        <v>2620863</v>
      </c>
      <c r="Y6" s="3">
        <f>V6-50</f>
        <v>250</v>
      </c>
      <c r="Z6" s="16">
        <f>(Y6/X6)*100000</f>
        <v>9.5388427399677127</v>
      </c>
      <c r="AA6" s="4">
        <v>2889010</v>
      </c>
      <c r="AB6" s="3">
        <v>281</v>
      </c>
      <c r="AC6" s="5">
        <v>9.7265153114734808</v>
      </c>
      <c r="AD6" s="3">
        <f>AA6-248147</f>
        <v>2640863</v>
      </c>
      <c r="AE6" s="3">
        <f>AB6-50</f>
        <v>231</v>
      </c>
      <c r="AF6" s="16">
        <f>(AE6/AD6)*100000</f>
        <v>8.7471406127466658</v>
      </c>
      <c r="AG6" s="4">
        <v>2905943</v>
      </c>
      <c r="AH6" s="3">
        <v>253</v>
      </c>
      <c r="AI6" s="5">
        <v>8.7062960285181106</v>
      </c>
      <c r="AJ6" s="3">
        <f>AG6-247370</f>
        <v>2658573</v>
      </c>
      <c r="AK6" s="3">
        <f>AH6-45</f>
        <v>208</v>
      </c>
      <c r="AL6" s="16">
        <f>(AK6/AJ6)*100000</f>
        <v>7.8237460472215741</v>
      </c>
      <c r="AM6" s="4">
        <v>2904978</v>
      </c>
      <c r="AN6" s="3">
        <v>317</v>
      </c>
      <c r="AO6" s="5">
        <v>10.912302950314944</v>
      </c>
      <c r="AP6" s="3">
        <f>AM6-248989</f>
        <v>2655989</v>
      </c>
      <c r="AQ6" s="3">
        <f>AN6-48</f>
        <v>269</v>
      </c>
      <c r="AR6" s="16">
        <f>(AQ6/AP6)*100000</f>
        <v>10.128053994199524</v>
      </c>
      <c r="AS6" s="4">
        <v>2928350</v>
      </c>
      <c r="AT6" s="3">
        <v>283</v>
      </c>
      <c r="AU6" s="5">
        <v>9.6641453378182263</v>
      </c>
      <c r="AV6" s="3">
        <f>AS6-246546</f>
        <v>2681804</v>
      </c>
      <c r="AW6" s="3">
        <f>AT6-51</f>
        <v>232</v>
      </c>
      <c r="AX6" s="16">
        <f>(AW6/AV6)*100000</f>
        <v>8.6508932047233866</v>
      </c>
      <c r="AY6" s="4">
        <v>2947806</v>
      </c>
      <c r="AZ6" s="3">
        <v>329</v>
      </c>
      <c r="BA6" s="5">
        <v>11.160843013414045</v>
      </c>
      <c r="BB6" s="3">
        <f>AY6-244695</f>
        <v>2703111</v>
      </c>
      <c r="BC6" s="3">
        <f>AZ6-67</f>
        <v>262</v>
      </c>
      <c r="BD6" s="16">
        <f>(BC6/BB6)*100000</f>
        <v>9.6925357486244561</v>
      </c>
      <c r="BE6" s="4">
        <v>2958774</v>
      </c>
      <c r="BF6" s="3">
        <v>275</v>
      </c>
      <c r="BG6" s="5">
        <v>9.294390176471742</v>
      </c>
      <c r="BH6" s="3">
        <f>BE6-244474</f>
        <v>2714300</v>
      </c>
      <c r="BI6" s="3">
        <f>BF6-42</f>
        <v>233</v>
      </c>
      <c r="BJ6" s="16">
        <f>(BI6/BH6)*100000</f>
        <v>8.5841653464981764</v>
      </c>
      <c r="BK6" s="6">
        <v>2970615</v>
      </c>
      <c r="BL6" s="3">
        <v>282</v>
      </c>
      <c r="BM6" s="5">
        <v>9.4929837760867706</v>
      </c>
      <c r="BN6" s="3">
        <f>BK6-245285</f>
        <v>2725330</v>
      </c>
      <c r="BO6" s="3">
        <f>BL6-44</f>
        <v>238</v>
      </c>
      <c r="BP6" s="16">
        <f>(BO6/BN6)*100000</f>
        <v>8.7328873934532698</v>
      </c>
      <c r="BQ6" s="6">
        <v>2979147</v>
      </c>
      <c r="BR6" s="3">
        <v>310</v>
      </c>
      <c r="BS6" s="5">
        <v>10.405663097524224</v>
      </c>
      <c r="BT6" s="3">
        <f>BQ6-248184</f>
        <v>2730963</v>
      </c>
      <c r="BU6" s="3">
        <f>BR6-55</f>
        <v>255</v>
      </c>
      <c r="BV6" s="16">
        <f>(BU6/BT6)*100000</f>
        <v>9.3373656105923075</v>
      </c>
      <c r="BW6" s="6">
        <v>2984599</v>
      </c>
      <c r="BX6" s="3">
        <v>291</v>
      </c>
      <c r="BY6" s="5">
        <v>9.7500535247783695</v>
      </c>
      <c r="BZ6" s="3">
        <f>BW6-248643</f>
        <v>2735956</v>
      </c>
      <c r="CA6" s="3">
        <f>BX6-60</f>
        <v>231</v>
      </c>
      <c r="CB6" s="16">
        <f>(CA6/BZ6)*100000</f>
        <v>8.4431182372815936</v>
      </c>
      <c r="CC6" s="6">
        <v>2989839</v>
      </c>
      <c r="CD6" s="3">
        <v>288</v>
      </c>
      <c r="CE6" s="5">
        <v>9.6326257032569309</v>
      </c>
      <c r="CF6" s="3">
        <f>CC6-244899</f>
        <v>2744940</v>
      </c>
      <c r="CG6" s="3">
        <f>CD6-59</f>
        <v>229</v>
      </c>
      <c r="CH6" s="16">
        <f>(CG6/CF6)*100000</f>
        <v>8.3426231538758593</v>
      </c>
      <c r="CI6" s="6">
        <v>2991892</v>
      </c>
      <c r="CJ6" s="3">
        <v>332</v>
      </c>
      <c r="CK6" s="5">
        <v>11.096657232279775</v>
      </c>
      <c r="CL6" s="3">
        <f>CI6-243729</f>
        <v>2748163</v>
      </c>
      <c r="CM6" s="3">
        <f>CJ6-68</f>
        <v>264</v>
      </c>
      <c r="CN6" s="16">
        <f>(CM6/CL6)*100000</f>
        <v>9.6064170866138578</v>
      </c>
      <c r="CO6" s="6">
        <v>2990231</v>
      </c>
      <c r="CP6" s="3">
        <v>325</v>
      </c>
      <c r="CQ6" s="5">
        <v>10.868725526556309</v>
      </c>
      <c r="CR6" s="3">
        <f>CO6-242891</f>
        <v>2747340</v>
      </c>
      <c r="CS6" s="3">
        <f>CP6-48</f>
        <v>277</v>
      </c>
      <c r="CT6" s="16">
        <f>(CS6/CR6)*100000</f>
        <v>10.082479780442174</v>
      </c>
      <c r="CU6" s="6">
        <v>2990595</v>
      </c>
      <c r="CV6" s="3">
        <v>345</v>
      </c>
      <c r="CW6" s="5">
        <v>11.536165880033906</v>
      </c>
      <c r="CX6" s="3">
        <f>CU6-241229</f>
        <v>2749366</v>
      </c>
      <c r="CY6" s="3">
        <f>CV6-61</f>
        <v>284</v>
      </c>
      <c r="CZ6" s="16">
        <f>(CY6/CX6)*100000</f>
        <v>10.329654182091435</v>
      </c>
      <c r="DA6" s="6">
        <v>2990674</v>
      </c>
      <c r="DB6" s="3">
        <v>360</v>
      </c>
      <c r="DC6" s="5">
        <v>12.037420327324208</v>
      </c>
      <c r="DD6" s="3">
        <f>DA6-239497</f>
        <v>2751177</v>
      </c>
      <c r="DE6" s="3">
        <f>DB6-64</f>
        <v>296</v>
      </c>
      <c r="DF6" s="16">
        <f>(DE6/DD6)*100000</f>
        <v>10.759031498155153</v>
      </c>
      <c r="DG6" s="6">
        <v>2982879</v>
      </c>
      <c r="DH6" s="3">
        <v>382</v>
      </c>
      <c r="DI6" s="5">
        <v>12.806419569818287</v>
      </c>
      <c r="DJ6" s="3">
        <f>DG6-237085</f>
        <v>2745794</v>
      </c>
      <c r="DK6" s="3">
        <f>DH6-84</f>
        <v>298</v>
      </c>
      <c r="DL6" s="16">
        <f>(DK6/DJ6)*100000</f>
        <v>10.852962749572619</v>
      </c>
      <c r="DM6" s="6">
        <v>2978227</v>
      </c>
      <c r="DN6" s="3">
        <v>434</v>
      </c>
      <c r="DO6" s="5">
        <v>14.572428495208728</v>
      </c>
      <c r="DP6" s="3">
        <f>DM6-231840</f>
        <v>2746387</v>
      </c>
      <c r="DQ6" s="3">
        <f>DN6-72</f>
        <v>362</v>
      </c>
      <c r="DR6" s="16">
        <f>(DQ6/DP6)*100000</f>
        <v>13.180953740314093</v>
      </c>
      <c r="DS6" s="6">
        <v>2976000</v>
      </c>
      <c r="DT6" s="3">
        <v>575</v>
      </c>
      <c r="DU6" s="5">
        <f>(DT6/DS6)*100000</f>
        <v>19.321236559139784</v>
      </c>
      <c r="DV6" s="4">
        <f>DS6-227966</f>
        <v>2748034</v>
      </c>
      <c r="DW6" s="3">
        <f>DT6-119</f>
        <v>456</v>
      </c>
      <c r="DX6" s="16">
        <f>(DW6/DV6)*100000</f>
        <v>16.593681155327772</v>
      </c>
      <c r="DY6" s="17"/>
    </row>
    <row r="7" spans="1:129" x14ac:dyDescent="0.3">
      <c r="A7" s="3" t="s">
        <v>130</v>
      </c>
      <c r="B7" s="3" t="s">
        <v>94</v>
      </c>
      <c r="C7" s="4">
        <v>5607285</v>
      </c>
      <c r="D7" s="3">
        <v>393</v>
      </c>
      <c r="E7" s="5">
        <v>7.0087395236732215</v>
      </c>
      <c r="F7" s="3">
        <f>C7-654880</f>
        <v>4952405</v>
      </c>
      <c r="G7" s="3">
        <f>D7-109</f>
        <v>284</v>
      </c>
      <c r="H7" s="16">
        <f>(G7/F7)*100000</f>
        <v>5.7345875387816623</v>
      </c>
      <c r="I7" s="4">
        <v>5641142</v>
      </c>
      <c r="J7" s="3">
        <v>430</v>
      </c>
      <c r="K7" s="5">
        <v>7.6225700398961767</v>
      </c>
      <c r="L7" s="4">
        <f>I7-657012</f>
        <v>4984130</v>
      </c>
      <c r="M7" s="3">
        <f>J7-109</f>
        <v>321</v>
      </c>
      <c r="N7" s="16">
        <f>(M7/L7)*100000</f>
        <v>6.4404419627898948</v>
      </c>
      <c r="O7" s="4">
        <v>5674825</v>
      </c>
      <c r="P7" s="3">
        <v>362</v>
      </c>
      <c r="Q7" s="5">
        <v>6.3790513363848227</v>
      </c>
      <c r="R7" s="3">
        <f>O7-658765</f>
        <v>5016060</v>
      </c>
      <c r="S7" s="3">
        <f>P7-85</f>
        <v>277</v>
      </c>
      <c r="T7" s="16">
        <f>(S7/R7)*100000</f>
        <v>5.5222624928728923</v>
      </c>
      <c r="U7" s="4">
        <v>5709403</v>
      </c>
      <c r="V7" s="3">
        <v>318</v>
      </c>
      <c r="W7" s="5">
        <v>5.5697592200095176</v>
      </c>
      <c r="X7" s="3">
        <f>U7-658914</f>
        <v>5050489</v>
      </c>
      <c r="Y7" s="3">
        <f>V7-92</f>
        <v>226</v>
      </c>
      <c r="Z7" s="16">
        <f>(Y7/X7)*100000</f>
        <v>4.474814220959594</v>
      </c>
      <c r="AA7" s="4">
        <v>5747741</v>
      </c>
      <c r="AB7" s="3">
        <v>363</v>
      </c>
      <c r="AC7" s="5">
        <v>6.3155246556864686</v>
      </c>
      <c r="AD7" s="3">
        <f>AA7-658307</f>
        <v>5089434</v>
      </c>
      <c r="AE7" s="3">
        <f>AB7-82</f>
        <v>281</v>
      </c>
      <c r="AF7" s="16">
        <f>(AE7/AD7)*100000</f>
        <v>5.5212426371969849</v>
      </c>
      <c r="AG7" s="4">
        <v>5790300</v>
      </c>
      <c r="AH7" s="3">
        <v>410</v>
      </c>
      <c r="AI7" s="5">
        <v>7.0808075574667972</v>
      </c>
      <c r="AJ7" s="3">
        <f>AG7-658592</f>
        <v>5131708</v>
      </c>
      <c r="AK7" s="3">
        <f>AH7-116</f>
        <v>294</v>
      </c>
      <c r="AL7" s="16">
        <f>(AK7/AJ7)*100000</f>
        <v>5.7290866900454978</v>
      </c>
      <c r="AM7" s="4">
        <v>5842704</v>
      </c>
      <c r="AN7" s="3">
        <v>405</v>
      </c>
      <c r="AO7" s="5">
        <v>6.9317220245968301</v>
      </c>
      <c r="AP7" s="3">
        <f>AM7-660539</f>
        <v>5182165</v>
      </c>
      <c r="AQ7" s="3">
        <f>AN7-117</f>
        <v>288</v>
      </c>
      <c r="AR7" s="16">
        <f>(AQ7/AP7)*100000</f>
        <v>5.5575227728179248</v>
      </c>
      <c r="AS7" s="4">
        <v>5887612</v>
      </c>
      <c r="AT7" s="3">
        <v>379</v>
      </c>
      <c r="AU7" s="5">
        <v>6.4372448456182241</v>
      </c>
      <c r="AV7" s="3">
        <f>AS7-662995</f>
        <v>5224617</v>
      </c>
      <c r="AW7" s="3">
        <f>AT7-92</f>
        <v>287</v>
      </c>
      <c r="AX7" s="16">
        <f>(AW7/AV7)*100000</f>
        <v>5.4932256278307099</v>
      </c>
      <c r="AY7" s="4">
        <v>5923916</v>
      </c>
      <c r="AZ7" s="3">
        <v>470</v>
      </c>
      <c r="BA7" s="5">
        <v>7.9339409944367878</v>
      </c>
      <c r="BB7" s="3">
        <f>AY7-665427</f>
        <v>5258489</v>
      </c>
      <c r="BC7" s="3">
        <f>AZ7-134</f>
        <v>336</v>
      </c>
      <c r="BD7" s="16">
        <f>(BC7/BB7)*100000</f>
        <v>6.3896682107730944</v>
      </c>
      <c r="BE7" s="4">
        <v>5961088</v>
      </c>
      <c r="BF7" s="3">
        <v>421</v>
      </c>
      <c r="BG7" s="5">
        <v>7.0624691331515317</v>
      </c>
      <c r="BH7" s="3">
        <f>BE7-670763</f>
        <v>5290325</v>
      </c>
      <c r="BI7" s="3">
        <f>BF7-106</f>
        <v>315</v>
      </c>
      <c r="BJ7" s="16">
        <f>(BI7/BH7)*100000</f>
        <v>5.9542655696956235</v>
      </c>
      <c r="BK7" s="6">
        <v>5996089</v>
      </c>
      <c r="BL7" s="3">
        <v>432</v>
      </c>
      <c r="BM7" s="5">
        <v>7.2046962611795786</v>
      </c>
      <c r="BN7" s="3">
        <f>BK7-674158</f>
        <v>5321931</v>
      </c>
      <c r="BO7" s="3">
        <f>BL7-121</f>
        <v>311</v>
      </c>
      <c r="BP7" s="16">
        <f>(BO7/BN7)*100000</f>
        <v>5.8437435584940882</v>
      </c>
      <c r="BQ7" s="6">
        <v>6011182</v>
      </c>
      <c r="BR7" s="3">
        <v>417</v>
      </c>
      <c r="BS7" s="5">
        <v>6.9370716108745336</v>
      </c>
      <c r="BT7" s="3">
        <f>BQ7-676360</f>
        <v>5334822</v>
      </c>
      <c r="BU7" s="3">
        <f>BR7-112</f>
        <v>305</v>
      </c>
      <c r="BV7" s="16">
        <f>(BU7/BT7)*100000</f>
        <v>5.7171541993341108</v>
      </c>
      <c r="BW7" s="6">
        <v>6026027</v>
      </c>
      <c r="BX7" s="3">
        <v>418</v>
      </c>
      <c r="BY7" s="5">
        <v>6.9365769519452867</v>
      </c>
      <c r="BZ7" s="3">
        <f>BW7-677377</f>
        <v>5348650</v>
      </c>
      <c r="CA7" s="3">
        <f>BX7-110</f>
        <v>308</v>
      </c>
      <c r="CB7" s="16">
        <f>(CA7/BZ7)*100000</f>
        <v>5.7584624157497686</v>
      </c>
      <c r="CC7" s="6">
        <v>6042989</v>
      </c>
      <c r="CD7" s="3">
        <v>385</v>
      </c>
      <c r="CE7" s="5">
        <v>6.3710193746836215</v>
      </c>
      <c r="CF7" s="3">
        <f>CC7-679996</f>
        <v>5362993</v>
      </c>
      <c r="CG7" s="3">
        <f>CD7-110</f>
        <v>275</v>
      </c>
      <c r="CH7" s="16">
        <f>(CG7/CF7)*100000</f>
        <v>5.12773371138094</v>
      </c>
      <c r="CI7" s="6">
        <v>6059130</v>
      </c>
      <c r="CJ7" s="3">
        <v>441</v>
      </c>
      <c r="CK7" s="5">
        <v>7.2782726232974033</v>
      </c>
      <c r="CL7" s="3">
        <f>CI7-683191</f>
        <v>5375939</v>
      </c>
      <c r="CM7" s="3">
        <f>CJ7-82</f>
        <v>359</v>
      </c>
      <c r="CN7" s="16">
        <f>(CM7/CL7)*100000</f>
        <v>6.6779031532909876</v>
      </c>
      <c r="CO7" s="6">
        <v>6075411</v>
      </c>
      <c r="CP7" s="3">
        <v>547</v>
      </c>
      <c r="CQ7" s="5">
        <v>9.0035061002457279</v>
      </c>
      <c r="CR7" s="3">
        <f>CO7-687623</f>
        <v>5387788</v>
      </c>
      <c r="CS7" s="3">
        <f>CP7-119</f>
        <v>428</v>
      </c>
      <c r="CT7" s="16">
        <f>(CS7/CR7)*100000</f>
        <v>7.9438908880601833</v>
      </c>
      <c r="CU7" s="6">
        <v>6091384</v>
      </c>
      <c r="CV7" s="3">
        <v>570</v>
      </c>
      <c r="CW7" s="5">
        <v>9.3574793511622314</v>
      </c>
      <c r="CX7" s="3">
        <f>CU7-691801</f>
        <v>5399583</v>
      </c>
      <c r="CY7" s="3">
        <f>CV7-134</f>
        <v>436</v>
      </c>
      <c r="CZ7" s="16">
        <f>(CY7/CX7)*100000</f>
        <v>8.0746976201680756</v>
      </c>
      <c r="DA7" s="6">
        <v>6111382</v>
      </c>
      <c r="DB7" s="3">
        <v>655</v>
      </c>
      <c r="DC7" s="5">
        <v>10.717706731472521</v>
      </c>
      <c r="DD7" s="3">
        <f>DA7-698895</f>
        <v>5412487</v>
      </c>
      <c r="DE7" s="3">
        <f>DB7-165</f>
        <v>490</v>
      </c>
      <c r="DF7" s="16">
        <f>(DE7/DD7)*100000</f>
        <v>9.053139527171151</v>
      </c>
      <c r="DG7" s="6">
        <v>6125986</v>
      </c>
      <c r="DH7" s="3">
        <v>658</v>
      </c>
      <c r="DI7" s="5">
        <v>10.741128040449325</v>
      </c>
      <c r="DJ7" s="3">
        <f>DG7-700307</f>
        <v>5425679</v>
      </c>
      <c r="DK7" s="3">
        <f>DH7-152</f>
        <v>506</v>
      </c>
      <c r="DL7" s="16">
        <f>(DK7/DJ7)*100000</f>
        <v>9.326021683184722</v>
      </c>
      <c r="DM7" s="6">
        <v>6140475</v>
      </c>
      <c r="DN7" s="3">
        <v>628</v>
      </c>
      <c r="DO7" s="5">
        <v>10.227221835444327</v>
      </c>
      <c r="DP7" s="3">
        <f>DM7-703011</f>
        <v>5437464</v>
      </c>
      <c r="DQ7" s="3">
        <f>DN7-162</f>
        <v>466</v>
      </c>
      <c r="DR7" s="16">
        <f>(DQ7/DP7)*100000</f>
        <v>8.5701716829757402</v>
      </c>
      <c r="DS7" s="6">
        <v>6137000</v>
      </c>
      <c r="DT7" s="3">
        <v>799</v>
      </c>
      <c r="DU7" s="5">
        <f>(DT7/DS7)*100000</f>
        <v>13.019390581717451</v>
      </c>
      <c r="DV7" s="4">
        <f>DS7-705925</f>
        <v>5431075</v>
      </c>
      <c r="DW7" s="3">
        <f>DT7-176</f>
        <v>623</v>
      </c>
      <c r="DX7" s="16">
        <f>(DW7/DV7)*100000</f>
        <v>11.471025533619034</v>
      </c>
      <c r="DY7" s="17"/>
    </row>
    <row r="8" spans="1:129" x14ac:dyDescent="0.3">
      <c r="A8" s="3" t="s">
        <v>131</v>
      </c>
      <c r="B8" s="3" t="s">
        <v>94</v>
      </c>
      <c r="C8" s="4">
        <v>4024223</v>
      </c>
      <c r="D8" s="3">
        <v>324</v>
      </c>
      <c r="E8" s="5">
        <v>8.0512436810783097</v>
      </c>
      <c r="F8" s="4">
        <f>C8-309969</f>
        <v>3714254</v>
      </c>
      <c r="G8" s="3">
        <f>D8-25</f>
        <v>299</v>
      </c>
      <c r="H8" s="16">
        <f>(G8/F8)*100000</f>
        <v>8.0500687352022773</v>
      </c>
      <c r="I8" s="4">
        <v>4064995</v>
      </c>
      <c r="J8" s="3">
        <v>348</v>
      </c>
      <c r="K8" s="5">
        <v>8.5608961388636402</v>
      </c>
      <c r="L8" s="4">
        <f>I8-313065</f>
        <v>3751930</v>
      </c>
      <c r="M8" s="3">
        <f>J8-28</f>
        <v>320</v>
      </c>
      <c r="N8" s="16">
        <f>(M8/L8)*100000</f>
        <v>8.5289437702728996</v>
      </c>
      <c r="O8" s="4">
        <v>4107795</v>
      </c>
      <c r="P8" s="3">
        <v>326</v>
      </c>
      <c r="Q8" s="5">
        <v>7.9361311847353635</v>
      </c>
      <c r="R8" s="4">
        <f>O8-317379</f>
        <v>3790416</v>
      </c>
      <c r="S8" s="3">
        <f>P8-36</f>
        <v>290</v>
      </c>
      <c r="T8" s="16">
        <f>(S8/R8)*100000</f>
        <v>7.6508752601297587</v>
      </c>
      <c r="U8" s="4">
        <v>4150297</v>
      </c>
      <c r="V8" s="3">
        <v>325</v>
      </c>
      <c r="W8" s="5">
        <v>7.8307648826096061</v>
      </c>
      <c r="X8" s="4">
        <f>U8-321222</f>
        <v>3829075</v>
      </c>
      <c r="Y8" s="3">
        <f>V8-37</f>
        <v>288</v>
      </c>
      <c r="Z8" s="16">
        <f>(Y8/X8)*100000</f>
        <v>7.5213987712437085</v>
      </c>
      <c r="AA8" s="4">
        <v>4210921</v>
      </c>
      <c r="AB8" s="3">
        <v>321</v>
      </c>
      <c r="AC8" s="5">
        <v>7.6230354357158454</v>
      </c>
      <c r="AD8" s="4">
        <f>AA8-328105</f>
        <v>3882816</v>
      </c>
      <c r="AE8" s="3">
        <f>AB8-26</f>
        <v>295</v>
      </c>
      <c r="AF8" s="16">
        <f>(AE8/AD8)*100000</f>
        <v>7.5975786645568579</v>
      </c>
      <c r="AG8" s="4">
        <v>4270150</v>
      </c>
      <c r="AH8" s="3">
        <v>332</v>
      </c>
      <c r="AI8" s="5">
        <v>7.7749025209887241</v>
      </c>
      <c r="AJ8" s="4">
        <f>AG8-331589</f>
        <v>3938561</v>
      </c>
      <c r="AK8" s="3">
        <f>AH8-28</f>
        <v>304</v>
      </c>
      <c r="AL8" s="16">
        <f>(AK8/AJ8)*100000</f>
        <v>7.7185550763337174</v>
      </c>
      <c r="AM8" s="4">
        <v>4357847</v>
      </c>
      <c r="AN8" s="3">
        <v>388</v>
      </c>
      <c r="AO8" s="5">
        <v>8.9034791721691917</v>
      </c>
      <c r="AP8" s="4">
        <f>AM8-334826</f>
        <v>4023021</v>
      </c>
      <c r="AQ8" s="3">
        <f>AN8-54</f>
        <v>334</v>
      </c>
      <c r="AR8" s="16">
        <f>(AQ8/AP8)*100000</f>
        <v>8.3022186560795976</v>
      </c>
      <c r="AS8" s="4">
        <v>4444110</v>
      </c>
      <c r="AT8" s="3">
        <v>373</v>
      </c>
      <c r="AU8" s="5">
        <v>8.3931315831516322</v>
      </c>
      <c r="AV8" s="4">
        <f>AS8-337147</f>
        <v>4106963</v>
      </c>
      <c r="AW8" s="3">
        <f>AT8-46</f>
        <v>327</v>
      </c>
      <c r="AX8" s="16">
        <f>(AW8/AV8)*100000</f>
        <v>7.9620878006449054</v>
      </c>
      <c r="AY8" s="4">
        <v>4528996</v>
      </c>
      <c r="AZ8" s="3">
        <v>354</v>
      </c>
      <c r="BA8" s="5">
        <v>7.8163018911917783</v>
      </c>
      <c r="BB8" s="4">
        <f>AY8-341921</f>
        <v>4187075</v>
      </c>
      <c r="BC8" s="3">
        <f>AZ8-33</f>
        <v>321</v>
      </c>
      <c r="BD8" s="16">
        <f>(BC8/BB8)*100000</f>
        <v>7.6664497292262501</v>
      </c>
      <c r="BE8" s="4">
        <v>4589872</v>
      </c>
      <c r="BF8" s="3">
        <v>345</v>
      </c>
      <c r="BG8" s="5">
        <v>7.5165494811184272</v>
      </c>
      <c r="BH8" s="4">
        <f>BE8-346795</f>
        <v>4243077</v>
      </c>
      <c r="BI8" s="3">
        <f>BF8-26</f>
        <v>319</v>
      </c>
      <c r="BJ8" s="16">
        <f>(BI8/BH8)*100000</f>
        <v>7.5181289427460305</v>
      </c>
      <c r="BK8" s="6">
        <v>4635846</v>
      </c>
      <c r="BL8" s="3">
        <v>320</v>
      </c>
      <c r="BM8" s="5">
        <v>6.9027314539784115</v>
      </c>
      <c r="BN8" s="4">
        <f>BK8-350209</f>
        <v>4285637</v>
      </c>
      <c r="BO8" s="3">
        <f>BL8-39</f>
        <v>281</v>
      </c>
      <c r="BP8" s="16">
        <f>(BO8/BN8)*100000</f>
        <v>6.5567849073544959</v>
      </c>
      <c r="BQ8" s="6">
        <v>4672655</v>
      </c>
      <c r="BR8" s="3">
        <v>352</v>
      </c>
      <c r="BS8" s="5">
        <v>7.5331904452607779</v>
      </c>
      <c r="BT8" s="4">
        <f>BQ8-357704</f>
        <v>4314951</v>
      </c>
      <c r="BU8" s="3">
        <f>BR8-28</f>
        <v>324</v>
      </c>
      <c r="BV8" s="16">
        <f>(BU8/BT8)*100000</f>
        <v>7.5087758818118671</v>
      </c>
      <c r="BW8" s="6">
        <v>4719027</v>
      </c>
      <c r="BX8" s="3">
        <v>369</v>
      </c>
      <c r="BY8" s="5">
        <v>7.819408534852629</v>
      </c>
      <c r="BZ8" s="4">
        <f>BW8-365162</f>
        <v>4353865</v>
      </c>
      <c r="CA8" s="3">
        <f>BX8-40</f>
        <v>329</v>
      </c>
      <c r="CB8" s="16">
        <f>(CA8/BZ8)*100000</f>
        <v>7.5565043932230331</v>
      </c>
      <c r="CC8" s="6">
        <v>4766469</v>
      </c>
      <c r="CD8" s="3">
        <v>315</v>
      </c>
      <c r="CE8" s="5">
        <v>6.6086656600514972</v>
      </c>
      <c r="CF8" s="4">
        <f>CC8-372803</f>
        <v>4393666</v>
      </c>
      <c r="CG8" s="3">
        <f>CD8-30</f>
        <v>285</v>
      </c>
      <c r="CH8" s="16">
        <f>(CG8/CF8)*100000</f>
        <v>6.48661049793043</v>
      </c>
      <c r="CI8" s="6">
        <v>4826858</v>
      </c>
      <c r="CJ8" s="3">
        <v>363</v>
      </c>
      <c r="CK8" s="5">
        <v>7.520420115942918</v>
      </c>
      <c r="CL8" s="4">
        <f>CI8-381015</f>
        <v>4445843</v>
      </c>
      <c r="CM8" s="3">
        <f>CJ8-43</f>
        <v>320</v>
      </c>
      <c r="CN8" s="16">
        <f>(CM8/CL8)*100000</f>
        <v>7.1977350527222841</v>
      </c>
      <c r="CO8" s="6">
        <v>4896006</v>
      </c>
      <c r="CP8" s="3">
        <v>448</v>
      </c>
      <c r="CQ8" s="5">
        <v>9.1503155837635806</v>
      </c>
      <c r="CR8" s="4">
        <f>CO8-389262</f>
        <v>4506744</v>
      </c>
      <c r="CS8" s="3">
        <f>CP8-53</f>
        <v>395</v>
      </c>
      <c r="CT8" s="16">
        <f>(CS8/CR8)*100000</f>
        <v>8.7646425002174517</v>
      </c>
      <c r="CU8" s="6">
        <v>4963031</v>
      </c>
      <c r="CV8" s="3">
        <v>426</v>
      </c>
      <c r="CW8" s="5">
        <v>8.5834644192228495</v>
      </c>
      <c r="CX8" s="4">
        <f>CU8-396484</f>
        <v>4566547</v>
      </c>
      <c r="CY8" s="3">
        <f>CV8-49</f>
        <v>377</v>
      </c>
      <c r="CZ8" s="16">
        <f>(CY8/CX8)*100000</f>
        <v>8.2556907878096943</v>
      </c>
      <c r="DA8" s="6">
        <v>5027102</v>
      </c>
      <c r="DB8" s="3">
        <v>444</v>
      </c>
      <c r="DC8" s="5">
        <v>8.8321263423737957</v>
      </c>
      <c r="DD8" s="4">
        <f>DA8-401438</f>
        <v>4625664</v>
      </c>
      <c r="DE8" s="3">
        <f>DB8-49</f>
        <v>395</v>
      </c>
      <c r="DF8" s="16">
        <f>(DE8/DD8)*100000</f>
        <v>8.5393145719187551</v>
      </c>
      <c r="DG8" s="6">
        <v>5091702</v>
      </c>
      <c r="DH8" s="3">
        <v>481</v>
      </c>
      <c r="DI8" s="5">
        <v>9.4467429554989675</v>
      </c>
      <c r="DJ8" s="4">
        <f>DG8-405905</f>
        <v>4685797</v>
      </c>
      <c r="DK8" s="3">
        <f>DH8-48</f>
        <v>433</v>
      </c>
      <c r="DL8" s="16">
        <f>(DK8/DJ8)*100000</f>
        <v>9.2406905378103232</v>
      </c>
      <c r="DM8" s="6">
        <v>5157702</v>
      </c>
      <c r="DN8" s="3">
        <v>527</v>
      </c>
      <c r="DO8" s="5">
        <v>10.21772874819057</v>
      </c>
      <c r="DP8" s="4">
        <f>DM8-411406</f>
        <v>4746296</v>
      </c>
      <c r="DQ8" s="3">
        <f>DN8-51</f>
        <v>476</v>
      </c>
      <c r="DR8" s="16">
        <f>(DQ8/DP8)*100000</f>
        <v>10.028873041209398</v>
      </c>
      <c r="DS8" s="6">
        <v>5149000</v>
      </c>
      <c r="DT8" s="3">
        <v>621</v>
      </c>
      <c r="DU8" s="5">
        <f>(DT8/DS8)*100000</f>
        <v>12.060594290153428</v>
      </c>
      <c r="DV8" s="4">
        <f>DS8-417981</f>
        <v>4731019</v>
      </c>
      <c r="DW8" s="3">
        <f>DT8-65</f>
        <v>556</v>
      </c>
      <c r="DX8" s="16">
        <f>(DW8/DV8)*100000</f>
        <v>11.752225049191305</v>
      </c>
      <c r="DY8" s="17"/>
    </row>
    <row r="9" spans="1:129" x14ac:dyDescent="0.3">
      <c r="A9" s="3" t="s">
        <v>132</v>
      </c>
      <c r="B9" s="3" t="s">
        <v>94</v>
      </c>
      <c r="C9" s="4">
        <v>5703719</v>
      </c>
      <c r="D9" s="3">
        <v>470</v>
      </c>
      <c r="E9" s="5">
        <v>8.2402376414406113</v>
      </c>
      <c r="F9" s="4">
        <f>C9-569891</f>
        <v>5133828</v>
      </c>
      <c r="G9" s="3">
        <f>D9-90</f>
        <v>380</v>
      </c>
      <c r="H9" s="16">
        <f>(G9/F9)*100000</f>
        <v>7.4018841301266818</v>
      </c>
      <c r="I9" s="4">
        <v>5750789</v>
      </c>
      <c r="J9" s="3">
        <v>452</v>
      </c>
      <c r="K9" s="5">
        <v>7.8597910651912279</v>
      </c>
      <c r="L9" s="4">
        <f>I9-574119</f>
        <v>5176670</v>
      </c>
      <c r="M9" s="3">
        <f>J9-75</f>
        <v>377</v>
      </c>
      <c r="N9" s="16">
        <f>(M9/L9)*100000</f>
        <v>7.2826739969903436</v>
      </c>
      <c r="O9" s="4">
        <v>5795918</v>
      </c>
      <c r="P9" s="3">
        <v>467</v>
      </c>
      <c r="Q9" s="5">
        <v>8.0573948768771402</v>
      </c>
      <c r="R9" s="4">
        <f>O9-574215</f>
        <v>5221703</v>
      </c>
      <c r="S9" s="3">
        <f>P9-65</f>
        <v>402</v>
      </c>
      <c r="T9" s="16">
        <f>(S9/R9)*100000</f>
        <v>7.6986377815819864</v>
      </c>
      <c r="U9" s="4">
        <v>5847812</v>
      </c>
      <c r="V9" s="3">
        <v>437</v>
      </c>
      <c r="W9" s="5">
        <v>7.4728804551172301</v>
      </c>
      <c r="X9" s="4">
        <f>U9-577231</f>
        <v>5270581</v>
      </c>
      <c r="Y9" s="3">
        <f>V9-69</f>
        <v>368</v>
      </c>
      <c r="Z9" s="16">
        <f>(Y9/X9)*100000</f>
        <v>6.9821524420173029</v>
      </c>
      <c r="AA9" s="4">
        <v>5910809</v>
      </c>
      <c r="AB9" s="3">
        <v>414</v>
      </c>
      <c r="AC9" s="5">
        <v>7.0041173720889986</v>
      </c>
      <c r="AD9" s="4">
        <f>AA9-583013</f>
        <v>5327796</v>
      </c>
      <c r="AE9" s="3">
        <f>AB9-58</f>
        <v>356</v>
      </c>
      <c r="AF9" s="16">
        <f>(AE9/AD9)*100000</f>
        <v>6.6819375216318342</v>
      </c>
      <c r="AG9" s="4">
        <v>5991057</v>
      </c>
      <c r="AH9" s="3">
        <v>485</v>
      </c>
      <c r="AI9" s="5">
        <v>8.0953995263273235</v>
      </c>
      <c r="AJ9" s="4">
        <f>AG9-589787</f>
        <v>5401270</v>
      </c>
      <c r="AK9" s="3">
        <f>AH9-96</f>
        <v>389</v>
      </c>
      <c r="AL9" s="16">
        <f>(AK9/AJ9)*100000</f>
        <v>7.2020098976722142</v>
      </c>
      <c r="AM9" s="4">
        <v>6088766</v>
      </c>
      <c r="AN9" s="3">
        <v>482</v>
      </c>
      <c r="AO9" s="5">
        <v>7.9162181630892032</v>
      </c>
      <c r="AP9" s="4">
        <f>AM9-597597</f>
        <v>5491169</v>
      </c>
      <c r="AQ9" s="3">
        <f>AN9-78</f>
        <v>404</v>
      </c>
      <c r="AR9" s="16">
        <f>(AQ9/AP9)*100000</f>
        <v>7.3572676419174137</v>
      </c>
      <c r="AS9" s="4">
        <v>6175727</v>
      </c>
      <c r="AT9" s="3">
        <v>471</v>
      </c>
      <c r="AU9" s="5">
        <v>7.6266324596278299</v>
      </c>
      <c r="AV9" s="4">
        <f>AS9-605031</f>
        <v>5570696</v>
      </c>
      <c r="AW9" s="3">
        <f>AT9-74</f>
        <v>397</v>
      </c>
      <c r="AX9" s="16">
        <f>(AW9/AV9)*100000</f>
        <v>7.1265780792920665</v>
      </c>
      <c r="AY9" s="4">
        <v>6247411</v>
      </c>
      <c r="AZ9" s="3">
        <v>473</v>
      </c>
      <c r="BA9" s="5">
        <v>7.571136267487443</v>
      </c>
      <c r="BB9" s="4">
        <f>AY9-612649</f>
        <v>5634762</v>
      </c>
      <c r="BC9" s="3">
        <f>AZ9-73</f>
        <v>400</v>
      </c>
      <c r="BD9" s="16">
        <f>(BC9/BB9)*100000</f>
        <v>7.0987913952709984</v>
      </c>
      <c r="BE9" s="4">
        <v>6306019</v>
      </c>
      <c r="BF9" s="3">
        <v>492</v>
      </c>
      <c r="BG9" s="5">
        <v>7.8020697368656826</v>
      </c>
      <c r="BH9" s="4">
        <f>BE9-621008</f>
        <v>5685011</v>
      </c>
      <c r="BI9" s="3">
        <f>BF9-70</f>
        <v>422</v>
      </c>
      <c r="BJ9" s="16">
        <f>(BI9/BH9)*100000</f>
        <v>7.4230287329259346</v>
      </c>
      <c r="BK9" s="6">
        <v>6355518</v>
      </c>
      <c r="BL9" s="3">
        <v>406</v>
      </c>
      <c r="BM9" s="5">
        <v>6.388149636268829</v>
      </c>
      <c r="BN9" s="4">
        <f>BK9-626681</f>
        <v>5728837</v>
      </c>
      <c r="BO9" s="3">
        <f>BL9-55</f>
        <v>351</v>
      </c>
      <c r="BP9" s="16">
        <f>(BO9/BN9)*100000</f>
        <v>6.1268980073966155</v>
      </c>
      <c r="BQ9" s="6">
        <v>6400298</v>
      </c>
      <c r="BR9" s="3">
        <v>439</v>
      </c>
      <c r="BS9" s="5">
        <v>6.8590556252224504</v>
      </c>
      <c r="BT9" s="4">
        <f>BQ9-635475</f>
        <v>5764823</v>
      </c>
      <c r="BU9" s="3">
        <f>BR9-47</f>
        <v>392</v>
      </c>
      <c r="BV9" s="16">
        <f>(BU9/BT9)*100000</f>
        <v>6.7998618517862557</v>
      </c>
      <c r="BW9" s="6">
        <v>6455752</v>
      </c>
      <c r="BX9" s="3">
        <v>468</v>
      </c>
      <c r="BY9" s="5">
        <v>7.2493491075865366</v>
      </c>
      <c r="BZ9" s="4">
        <f>BW9-648295</f>
        <v>5807457</v>
      </c>
      <c r="CA9" s="3">
        <f>BX9-71</f>
        <v>397</v>
      </c>
      <c r="CB9" s="16">
        <f>(CA9/BZ9)*100000</f>
        <v>6.8360385621451876</v>
      </c>
      <c r="CC9" s="6">
        <v>6496943</v>
      </c>
      <c r="CD9" s="3">
        <v>402</v>
      </c>
      <c r="CE9" s="5">
        <v>6.1875254254193086</v>
      </c>
      <c r="CF9" s="4">
        <f>CC9-658602</f>
        <v>5838341</v>
      </c>
      <c r="CG9" s="3">
        <f>CD9-38</f>
        <v>364</v>
      </c>
      <c r="CH9" s="16">
        <f>(CG9/CF9)*100000</f>
        <v>6.2346478220439678</v>
      </c>
      <c r="CI9" s="6">
        <v>6544617</v>
      </c>
      <c r="CJ9" s="3">
        <v>417</v>
      </c>
      <c r="CK9" s="5">
        <v>6.3716486388737499</v>
      </c>
      <c r="CL9" s="4">
        <f>CI9-668347</f>
        <v>5876270</v>
      </c>
      <c r="CM9" s="3">
        <f>CJ9-48</f>
        <v>369</v>
      </c>
      <c r="CN9" s="16">
        <f>(CM9/CL9)*100000</f>
        <v>6.279493624356947</v>
      </c>
      <c r="CO9" s="6">
        <v>6595354</v>
      </c>
      <c r="CP9" s="3">
        <v>460</v>
      </c>
      <c r="CQ9" s="5">
        <v>6.9746066700892779</v>
      </c>
      <c r="CR9" s="4">
        <f>CO9-678889</f>
        <v>5916465</v>
      </c>
      <c r="CS9" s="3">
        <f>CP9-71</f>
        <v>389</v>
      </c>
      <c r="CT9" s="16">
        <f>(CS9/CR9)*100000</f>
        <v>6.5748719885945404</v>
      </c>
      <c r="CU9" s="6">
        <v>6651277</v>
      </c>
      <c r="CV9" s="3">
        <v>563</v>
      </c>
      <c r="CW9" s="5">
        <v>8.4645399672874841</v>
      </c>
      <c r="CX9" s="4">
        <f>CU9-684410</f>
        <v>5966867</v>
      </c>
      <c r="CY9" s="3">
        <f>CV9-83</f>
        <v>480</v>
      </c>
      <c r="CZ9" s="16">
        <f>(CY9/CX9)*100000</f>
        <v>8.0444226425693746</v>
      </c>
      <c r="DA9" s="6">
        <v>6714748</v>
      </c>
      <c r="DB9" s="3">
        <v>557</v>
      </c>
      <c r="DC9" s="5">
        <v>8.29517354932754</v>
      </c>
      <c r="DD9" s="4">
        <f>DA9-691243</f>
        <v>6023505</v>
      </c>
      <c r="DE9" s="3">
        <f>DB9-104</f>
        <v>453</v>
      </c>
      <c r="DF9" s="16">
        <f>(DE9/DD9)*100000</f>
        <v>7.5205382912440522</v>
      </c>
      <c r="DG9" s="6">
        <v>6778180</v>
      </c>
      <c r="DH9" s="3">
        <v>604</v>
      </c>
      <c r="DI9" s="5">
        <v>8.9109465962839582</v>
      </c>
      <c r="DJ9" s="4">
        <f>DG9-692587</f>
        <v>6085593</v>
      </c>
      <c r="DK9" s="3">
        <f>DH9-91</f>
        <v>513</v>
      </c>
      <c r="DL9" s="16">
        <f>(DK9/DJ9)*100000</f>
        <v>8.4297454660540065</v>
      </c>
      <c r="DM9" s="6">
        <v>6830325</v>
      </c>
      <c r="DN9" s="3">
        <v>596</v>
      </c>
      <c r="DO9" s="5">
        <v>8.7257926965407933</v>
      </c>
      <c r="DP9" s="4">
        <f>DM9-694144</f>
        <v>6136181</v>
      </c>
      <c r="DQ9" s="3">
        <f>DN9-75</f>
        <v>521</v>
      </c>
      <c r="DR9" s="16">
        <f>(DQ9/DP9)*100000</f>
        <v>8.4906230764705288</v>
      </c>
      <c r="DS9" s="6">
        <v>6886834</v>
      </c>
      <c r="DT9" s="3">
        <v>751</v>
      </c>
      <c r="DU9" s="5">
        <f>(DT9/DS9)*100000</f>
        <v>10.904865719138867</v>
      </c>
      <c r="DV9" s="4">
        <f>DS9-694176</f>
        <v>6192658</v>
      </c>
      <c r="DW9" s="3">
        <f>DT9-108</f>
        <v>643</v>
      </c>
      <c r="DX9" s="16">
        <f>(DW9/DV9)*100000</f>
        <v>10.383263535625574</v>
      </c>
      <c r="DY9" s="17"/>
    </row>
    <row r="10" spans="1:129" x14ac:dyDescent="0.3">
      <c r="A10" s="2" t="s">
        <v>133</v>
      </c>
      <c r="B10" s="3" t="s">
        <v>94</v>
      </c>
      <c r="C10" s="4">
        <v>627963</v>
      </c>
      <c r="D10" s="3">
        <v>37</v>
      </c>
      <c r="E10" s="5">
        <v>5.8920668892912476</v>
      </c>
      <c r="F10" s="4">
        <f>C10-260283</f>
        <v>367680</v>
      </c>
      <c r="G10" s="3">
        <f>D10-18</f>
        <v>19</v>
      </c>
      <c r="H10" s="16">
        <f>(G10/F10)*100000</f>
        <v>5.1675369886858133</v>
      </c>
      <c r="I10" s="4">
        <v>633714</v>
      </c>
      <c r="J10" s="3">
        <v>38</v>
      </c>
      <c r="K10" s="5">
        <v>5.9963958504940713</v>
      </c>
      <c r="L10" s="4">
        <f>I10-264274</f>
        <v>369440</v>
      </c>
      <c r="M10" s="3">
        <f>J10-14</f>
        <v>24</v>
      </c>
      <c r="N10" s="16">
        <f>(M10/L10)*100000</f>
        <v>6.4963187527067996</v>
      </c>
      <c r="O10" s="4">
        <v>642337</v>
      </c>
      <c r="P10" s="3">
        <v>40</v>
      </c>
      <c r="Q10" s="5">
        <v>6.2272607681014787</v>
      </c>
      <c r="R10" s="4">
        <f>O10-268229</f>
        <v>374108</v>
      </c>
      <c r="S10" s="3">
        <f>P10-20</f>
        <v>20</v>
      </c>
      <c r="T10" s="16">
        <f>(S10/R10)*100000</f>
        <v>5.3460498037999722</v>
      </c>
      <c r="U10" s="4">
        <v>648414</v>
      </c>
      <c r="V10" s="3">
        <v>47</v>
      </c>
      <c r="W10" s="5">
        <v>7.2484554620967474</v>
      </c>
      <c r="X10" s="4">
        <f>U10-270568</f>
        <v>377846</v>
      </c>
      <c r="Y10" s="3">
        <f>V10-20</f>
        <v>27</v>
      </c>
      <c r="Z10" s="16">
        <f>(Y10/X10)*100000</f>
        <v>7.1457683818275175</v>
      </c>
      <c r="AA10" s="4">
        <v>659286</v>
      </c>
      <c r="AB10" s="3">
        <v>40</v>
      </c>
      <c r="AC10" s="5">
        <v>6.0671696350294111</v>
      </c>
      <c r="AD10" s="4">
        <f>AA10-274484</f>
        <v>384802</v>
      </c>
      <c r="AE10" s="3">
        <f>AB10-18</f>
        <v>22</v>
      </c>
      <c r="AF10" s="16">
        <f>(AE10/AD10)*100000</f>
        <v>5.7172260019438568</v>
      </c>
      <c r="AG10" s="4">
        <v>666946</v>
      </c>
      <c r="AH10" s="3">
        <v>37</v>
      </c>
      <c r="AI10" s="5">
        <v>5.5476755239554629</v>
      </c>
      <c r="AJ10" s="4">
        <f>AG10-276494</f>
        <v>390452</v>
      </c>
      <c r="AK10" s="3">
        <f>AH10-19</f>
        <v>18</v>
      </c>
      <c r="AL10" s="16">
        <f>(AK10/AJ10)*100000</f>
        <v>4.6100416952659993</v>
      </c>
      <c r="AM10" s="4">
        <v>675302</v>
      </c>
      <c r="AN10" s="3">
        <v>42</v>
      </c>
      <c r="AO10" s="5">
        <v>6.2194395988757618</v>
      </c>
      <c r="AP10" s="4">
        <f>AM10-280085</f>
        <v>395217</v>
      </c>
      <c r="AQ10" s="3">
        <f>AN10-22</f>
        <v>20</v>
      </c>
      <c r="AR10" s="16">
        <f>(AQ10/AP10)*100000</f>
        <v>5.0605110610120514</v>
      </c>
      <c r="AS10" s="4">
        <v>680300</v>
      </c>
      <c r="AT10" s="3">
        <v>49</v>
      </c>
      <c r="AU10" s="5">
        <v>7.2027046891077466</v>
      </c>
      <c r="AV10" s="4">
        <f>AS10-278792</f>
        <v>401508</v>
      </c>
      <c r="AW10" s="3">
        <f>AT10-24</f>
        <v>25</v>
      </c>
      <c r="AX10" s="16">
        <f>(AW10/AV10)*100000</f>
        <v>6.2265259969913425</v>
      </c>
      <c r="AY10" s="4">
        <v>687455</v>
      </c>
      <c r="AZ10" s="3">
        <v>29</v>
      </c>
      <c r="BA10" s="5">
        <v>4.2184579354285008</v>
      </c>
      <c r="BD10" s="16">
        <f>BA10</f>
        <v>4.2184579354285008</v>
      </c>
      <c r="BE10" s="4">
        <v>698895</v>
      </c>
      <c r="BF10" s="3">
        <v>26</v>
      </c>
      <c r="BG10" s="5">
        <v>3.7201582498086263</v>
      </c>
      <c r="BH10" s="4">
        <f>BE10-287677</f>
        <v>411218</v>
      </c>
      <c r="BI10" s="3">
        <f>BF10-13</f>
        <v>13</v>
      </c>
      <c r="BJ10" s="16">
        <f>(BI10/BH10)*100000</f>
        <v>3.1613402137065987</v>
      </c>
      <c r="BK10" s="6">
        <v>713982</v>
      </c>
      <c r="BL10" s="3">
        <v>43</v>
      </c>
      <c r="BM10" s="5">
        <v>6.0225607928491192</v>
      </c>
      <c r="BN10" s="4">
        <f>BK10-291826</f>
        <v>422156</v>
      </c>
      <c r="BO10" s="3">
        <f>BL10-17</f>
        <v>26</v>
      </c>
      <c r="BP10" s="16">
        <f>(BO10/BN10)*100000</f>
        <v>6.1588607055211808</v>
      </c>
      <c r="BQ10" s="6">
        <v>722349</v>
      </c>
      <c r="BR10" s="3">
        <v>36</v>
      </c>
      <c r="BS10" s="5">
        <v>4.9837405464671507</v>
      </c>
      <c r="BT10" s="4">
        <f>BQ10-295570</f>
        <v>426779</v>
      </c>
      <c r="BU10" s="3">
        <f>BR10-16</f>
        <v>20</v>
      </c>
      <c r="BV10" s="16">
        <f>(BU10/BT10)*100000</f>
        <v>4.686266193978617</v>
      </c>
      <c r="BW10" s="6">
        <v>730810</v>
      </c>
      <c r="BX10" s="3">
        <v>38</v>
      </c>
      <c r="BY10" s="5">
        <v>5.1997099109207596</v>
      </c>
      <c r="BZ10" s="4">
        <f>BW10-298610</f>
        <v>432200</v>
      </c>
      <c r="CA10" s="3">
        <f>BX10-20</f>
        <v>18</v>
      </c>
      <c r="CB10" s="16">
        <f>(CA10/BZ10)*100000</f>
        <v>4.1647385469689953</v>
      </c>
      <c r="CC10" s="6">
        <v>737626</v>
      </c>
      <c r="CD10" s="3">
        <v>43</v>
      </c>
      <c r="CE10" s="5">
        <v>5.8295125171835052</v>
      </c>
      <c r="CF10" s="4">
        <f>CC10-300950</f>
        <v>436676</v>
      </c>
      <c r="CG10" s="3">
        <f>CD10-19</f>
        <v>24</v>
      </c>
      <c r="CH10" s="16">
        <f>(CG10/CF10)*100000</f>
        <v>5.4960657329461666</v>
      </c>
      <c r="CI10" s="6">
        <v>737075</v>
      </c>
      <c r="CJ10" s="3">
        <v>37</v>
      </c>
      <c r="CK10" s="5">
        <v>5.0198419428145034</v>
      </c>
      <c r="CL10" s="4">
        <f>CI10-301010</f>
        <v>436065</v>
      </c>
      <c r="CM10" s="3">
        <f>CJ10-14</f>
        <v>23</v>
      </c>
      <c r="CN10" s="16">
        <f>(CM10/CL10)*100000</f>
        <v>5.2744430302821828</v>
      </c>
      <c r="CO10" s="6">
        <v>738430</v>
      </c>
      <c r="CP10" s="3">
        <v>62</v>
      </c>
      <c r="CQ10" s="5">
        <v>8.396191920696614</v>
      </c>
      <c r="CR10" s="4">
        <f>CO10-298695</f>
        <v>439735</v>
      </c>
      <c r="CS10" s="3">
        <f>CP10-25</f>
        <v>37</v>
      </c>
      <c r="CT10" s="16">
        <f>(CS10/CR10)*100000</f>
        <v>8.4141585272948483</v>
      </c>
      <c r="CU10" s="6">
        <v>742575</v>
      </c>
      <c r="CV10" s="3">
        <v>54</v>
      </c>
      <c r="CW10" s="5">
        <v>7.2719927280072723</v>
      </c>
      <c r="CX10" s="4">
        <f>CU10-298192</f>
        <v>444383</v>
      </c>
      <c r="CY10" s="3">
        <f>CV10-31</f>
        <v>23</v>
      </c>
      <c r="CZ10" s="16">
        <f>(CY10/CX10)*100000</f>
        <v>5.1757155426737746</v>
      </c>
      <c r="DA10" s="6">
        <v>740983</v>
      </c>
      <c r="DB10" s="3">
        <v>78</v>
      </c>
      <c r="DC10" s="5">
        <v>10.52655728943849</v>
      </c>
      <c r="DD10" s="4">
        <f>DA10-294356</f>
        <v>446627</v>
      </c>
      <c r="DE10" s="3">
        <f>DB10-40</f>
        <v>38</v>
      </c>
      <c r="DF10" s="16">
        <f>(DE10/DD10)*100000</f>
        <v>8.5082182671446187</v>
      </c>
      <c r="DG10" s="6">
        <v>736624</v>
      </c>
      <c r="DH10" s="3">
        <v>56</v>
      </c>
      <c r="DI10" s="5">
        <v>7.6022502660787596</v>
      </c>
      <c r="DJ10" s="4">
        <f>DG10-291538</f>
        <v>445086</v>
      </c>
      <c r="DK10" s="3">
        <f>DH10-28</f>
        <v>28</v>
      </c>
      <c r="DL10" s="16">
        <f>(DK10/DJ10)*100000</f>
        <v>6.2909190583392878</v>
      </c>
      <c r="DM10" s="6">
        <v>733603</v>
      </c>
      <c r="DN10" s="3">
        <v>78</v>
      </c>
      <c r="DO10" s="5">
        <v>10.63245379312789</v>
      </c>
      <c r="DP10" s="4">
        <f>DM10-288000</f>
        <v>445603</v>
      </c>
      <c r="DQ10" s="3">
        <f>DN10-31</f>
        <v>47</v>
      </c>
      <c r="DR10" s="16">
        <f>(DQ10/DP10)*100000</f>
        <v>10.547505290583771</v>
      </c>
      <c r="DS10" s="6">
        <v>731545</v>
      </c>
      <c r="DT10" s="3">
        <v>55</v>
      </c>
      <c r="DU10" s="5">
        <v>6.5614555495560767</v>
      </c>
      <c r="DV10" s="4">
        <f>DS10-287095</f>
        <v>444450</v>
      </c>
      <c r="DW10" s="3">
        <f>DT10-19</f>
        <v>36</v>
      </c>
      <c r="DX10" s="16">
        <f>(DW10/DV10)*100000</f>
        <v>8.0998987512656093</v>
      </c>
    </row>
    <row r="11" spans="1:129" x14ac:dyDescent="0.3">
      <c r="A11" s="2" t="s">
        <v>134</v>
      </c>
      <c r="B11" s="3" t="s">
        <v>94</v>
      </c>
      <c r="C11" s="4">
        <v>16047515</v>
      </c>
      <c r="D11" s="3">
        <v>920</v>
      </c>
      <c r="E11" s="5">
        <v>5.7329748562316345</v>
      </c>
      <c r="F11" s="4">
        <f>C11-778879</f>
        <v>15268636</v>
      </c>
      <c r="G11" s="3">
        <f>D11-76</f>
        <v>844</v>
      </c>
      <c r="H11" s="16">
        <f>(G11/F11)*100000</f>
        <v>5.527671234025096</v>
      </c>
      <c r="I11" s="4">
        <v>16356966</v>
      </c>
      <c r="J11" s="3">
        <v>951</v>
      </c>
      <c r="K11" s="5">
        <v>5.8140366618112429</v>
      </c>
      <c r="L11" s="4">
        <f>I11-790681</f>
        <v>15566285</v>
      </c>
      <c r="M11" s="3">
        <f>J11-85</f>
        <v>866</v>
      </c>
      <c r="N11" s="16">
        <f>(M11/L11)*100000</f>
        <v>5.563305567127931</v>
      </c>
      <c r="O11" s="4">
        <v>16689370</v>
      </c>
      <c r="P11" s="3">
        <v>994</v>
      </c>
      <c r="Q11" s="5">
        <v>5.9558868908772471</v>
      </c>
      <c r="R11" s="4">
        <f>O11-800532</f>
        <v>15888838</v>
      </c>
      <c r="S11" s="3">
        <f>P11-111</f>
        <v>883</v>
      </c>
      <c r="T11" s="16">
        <f>(S11/R11)*100000</f>
        <v>5.5573604564411818</v>
      </c>
      <c r="U11" s="4">
        <v>17004085</v>
      </c>
      <c r="V11" s="3">
        <v>994</v>
      </c>
      <c r="W11" s="5">
        <v>5.8456541472240344</v>
      </c>
      <c r="X11" s="4">
        <f>U11-809633</f>
        <v>16194452</v>
      </c>
      <c r="Y11" s="3">
        <f>V11-100</f>
        <v>894</v>
      </c>
      <c r="Z11" s="16">
        <f>(Y11/X11)*100000</f>
        <v>5.5204090882482468</v>
      </c>
      <c r="AA11" s="4">
        <v>17415318</v>
      </c>
      <c r="AB11" s="3">
        <v>1018</v>
      </c>
      <c r="AC11" s="5">
        <v>5.8454287197052617</v>
      </c>
      <c r="AD11" s="4">
        <f>AA11-820070</f>
        <v>16595248</v>
      </c>
      <c r="AE11" s="3">
        <f>AB11-114</f>
        <v>904</v>
      </c>
      <c r="AF11" s="16">
        <f>(AE11/AD11)*100000</f>
        <v>5.4473425163637206</v>
      </c>
      <c r="AG11" s="4">
        <v>17842038</v>
      </c>
      <c r="AH11" s="3">
        <v>983</v>
      </c>
      <c r="AI11" s="5">
        <v>5.5094602982013603</v>
      </c>
      <c r="AJ11" s="4">
        <f>AG11-828988</f>
        <v>17013050</v>
      </c>
      <c r="AK11" s="3">
        <f>AH11-104</f>
        <v>879</v>
      </c>
      <c r="AL11" s="16">
        <f>(AK11/AJ11)*100000</f>
        <v>5.1666220930403419</v>
      </c>
      <c r="AM11" s="4">
        <v>18166990</v>
      </c>
      <c r="AN11" s="3">
        <v>1199</v>
      </c>
      <c r="AO11" s="5">
        <v>6.5998825342007672</v>
      </c>
      <c r="AP11" s="4">
        <f>AM11-842098</f>
        <v>17324892</v>
      </c>
      <c r="AQ11" s="3">
        <f>AN11-121</f>
        <v>1078</v>
      </c>
      <c r="AR11" s="16">
        <f>(AQ11/AP11)*100000</f>
        <v>6.2222610103428062</v>
      </c>
      <c r="AS11" s="4">
        <v>18367842</v>
      </c>
      <c r="AT11" s="3">
        <v>1301</v>
      </c>
      <c r="AU11" s="5">
        <v>7.0830313109182876</v>
      </c>
      <c r="AV11" s="4">
        <f>AS11-851033</f>
        <v>17516809</v>
      </c>
      <c r="AW11" s="3">
        <f>AT11-141</f>
        <v>1160</v>
      </c>
      <c r="AX11" s="16">
        <f>(AW11/AV11)*100000</f>
        <v>6.6222107005905011</v>
      </c>
      <c r="AY11" s="4">
        <v>18527305</v>
      </c>
      <c r="AZ11" s="3">
        <v>1279</v>
      </c>
      <c r="BA11" s="5">
        <v>6.903324579586724</v>
      </c>
      <c r="BB11" s="4">
        <f>AY11-855437</f>
        <v>17671868</v>
      </c>
      <c r="BC11" s="3">
        <f>AZ11-122</f>
        <v>1157</v>
      </c>
      <c r="BD11" s="16">
        <f>(BC11/BB11)*100000</f>
        <v>6.547129030162516</v>
      </c>
      <c r="BE11" s="4">
        <v>18652644</v>
      </c>
      <c r="BF11" s="3">
        <v>1118</v>
      </c>
      <c r="BG11" s="5">
        <v>5.9937883337075428</v>
      </c>
      <c r="BH11" s="4">
        <f>BE11-859795</f>
        <v>17792849</v>
      </c>
      <c r="BI11" s="3">
        <f>BF11-118</f>
        <v>1000</v>
      </c>
      <c r="BJ11" s="16">
        <f>(BI11/BH11)*100000</f>
        <v>5.620235410304443</v>
      </c>
      <c r="BK11" s="6">
        <v>18846143</v>
      </c>
      <c r="BL11" s="3">
        <v>1093</v>
      </c>
      <c r="BM11" s="5">
        <v>5.7995951744608965</v>
      </c>
      <c r="BN11" s="4">
        <f>BK11-870709</f>
        <v>17975434</v>
      </c>
      <c r="BO11" s="3">
        <f>BL11-91</f>
        <v>1002</v>
      </c>
      <c r="BP11" s="16">
        <f>(BO11/BN11)*100000</f>
        <v>5.5742743123754339</v>
      </c>
      <c r="BQ11" s="6">
        <v>19055607</v>
      </c>
      <c r="BR11" s="3">
        <v>1119</v>
      </c>
      <c r="BS11" s="5">
        <v>5.8722873535332667</v>
      </c>
      <c r="BT11" s="4">
        <f>BQ11-879602</f>
        <v>18176005</v>
      </c>
      <c r="BU11" s="3">
        <f>BR11-109</f>
        <v>1010</v>
      </c>
      <c r="BV11" s="16">
        <f>(BU11/BT11)*100000</f>
        <v>5.5567766404113561</v>
      </c>
      <c r="BW11" s="6">
        <v>19302016</v>
      </c>
      <c r="BX11" s="3">
        <v>1182</v>
      </c>
      <c r="BY11" s="5">
        <v>6.1237126733290443</v>
      </c>
      <c r="BZ11" s="4">
        <f>BW11-879602</f>
        <v>18422414</v>
      </c>
      <c r="CA11" s="3">
        <f>BX11-109</f>
        <v>1073</v>
      </c>
      <c r="CB11" s="16">
        <f>(CA11/BZ11)*100000</f>
        <v>5.8244267010827135</v>
      </c>
      <c r="CC11" s="6">
        <v>19551678</v>
      </c>
      <c r="CD11" s="3">
        <v>1122</v>
      </c>
      <c r="CE11" s="5">
        <v>5.7386378805952107</v>
      </c>
      <c r="CF11" s="4">
        <f>CC11-885855</f>
        <v>18665823</v>
      </c>
      <c r="CG11" s="3">
        <f>CD11-103</f>
        <v>1019</v>
      </c>
      <c r="CH11" s="16">
        <f>(CG11/CF11)*100000</f>
        <v>5.4591753066553776</v>
      </c>
      <c r="CI11" s="6">
        <v>19853880</v>
      </c>
      <c r="CJ11" s="4">
        <v>1159</v>
      </c>
      <c r="CK11" s="5">
        <v>5.8376498699498534</v>
      </c>
      <c r="CL11" s="4">
        <f>CI11-897698</f>
        <v>18956182</v>
      </c>
      <c r="CM11" s="4">
        <f>CJ11-111</f>
        <v>1048</v>
      </c>
      <c r="CN11" s="16">
        <f>(CM11/CL11)*100000</f>
        <v>5.5285394495579334</v>
      </c>
      <c r="CO11" s="6">
        <v>20219111</v>
      </c>
      <c r="CP11" s="4">
        <v>1208</v>
      </c>
      <c r="CQ11" s="5">
        <v>5.9745455673100558</v>
      </c>
      <c r="CR11" s="4">
        <f>CO11-913010</f>
        <v>19306101</v>
      </c>
      <c r="CS11" s="4">
        <f>CP11-109</f>
        <v>1099</v>
      </c>
      <c r="CT11" s="16">
        <f>(CS11/CR11)*100000</f>
        <v>5.6925010389202875</v>
      </c>
      <c r="CU11" s="6">
        <v>20627237</v>
      </c>
      <c r="CV11" s="4">
        <v>1294</v>
      </c>
      <c r="CW11" s="5">
        <v>6.2732589924670954</v>
      </c>
      <c r="CX11" s="4">
        <f>CU11-926255</f>
        <v>19700982</v>
      </c>
      <c r="CY11" s="4">
        <f>CV11-108</f>
        <v>1186</v>
      </c>
      <c r="CZ11" s="16">
        <f>(CY11/CX11)*100000</f>
        <v>6.020004485055618</v>
      </c>
      <c r="DA11" s="6">
        <v>20977089</v>
      </c>
      <c r="DB11" s="4">
        <v>1269</v>
      </c>
      <c r="DC11" s="5">
        <v>6.0494571005538473</v>
      </c>
      <c r="DD11" s="4">
        <f>DA11-937934</f>
        <v>20039155</v>
      </c>
      <c r="DE11" s="4">
        <f>DB11-142</f>
        <v>1127</v>
      </c>
      <c r="DF11" s="16">
        <f>(DE11/DD11)*100000</f>
        <v>5.6239896342934621</v>
      </c>
      <c r="DG11" s="6">
        <v>21254926</v>
      </c>
      <c r="DH11" s="3">
        <v>1315</v>
      </c>
      <c r="DI11" s="5">
        <v>6.1868011208319427</v>
      </c>
      <c r="DJ11" s="4">
        <f>DG11-950181</f>
        <v>20304745</v>
      </c>
      <c r="DK11" s="3">
        <f>DH11-121</f>
        <v>1194</v>
      </c>
      <c r="DL11" s="16">
        <f>(DK11/DJ11)*100000</f>
        <v>5.8803988919831296</v>
      </c>
      <c r="DM11" s="6">
        <v>21492056</v>
      </c>
      <c r="DN11" s="3">
        <v>1334</v>
      </c>
      <c r="DO11" s="5">
        <v>6.2069445566305985</v>
      </c>
      <c r="DP11" s="4">
        <f>DM11-957755</f>
        <v>20534301</v>
      </c>
      <c r="DQ11" s="3">
        <f>DN11-143</f>
        <v>1191</v>
      </c>
      <c r="DR11" s="16">
        <f>(DQ11/DP11)*100000</f>
        <v>5.8000513384896806</v>
      </c>
      <c r="DS11" s="6">
        <v>21538187</v>
      </c>
      <c r="DT11" s="3">
        <v>1519</v>
      </c>
      <c r="DU11" s="5">
        <v>5.9661474756440738</v>
      </c>
      <c r="DV11" s="4">
        <f>DS11-966728</f>
        <v>20571459</v>
      </c>
      <c r="DW11" s="3">
        <f>DT11-165</f>
        <v>1354</v>
      </c>
      <c r="DX11" s="16">
        <f>(DW11/DV11)*100000</f>
        <v>6.5819347086660205</v>
      </c>
    </row>
    <row r="12" spans="1:129" x14ac:dyDescent="0.3">
      <c r="A12" s="3" t="s">
        <v>98</v>
      </c>
      <c r="B12" s="3" t="s">
        <v>94</v>
      </c>
      <c r="F12" s="4">
        <v>1299430</v>
      </c>
      <c r="G12" s="3">
        <v>23</v>
      </c>
      <c r="H12" s="16">
        <v>1.7700068491569381</v>
      </c>
      <c r="L12" s="4">
        <v>1319962</v>
      </c>
      <c r="M12" s="3">
        <v>40</v>
      </c>
      <c r="N12" s="16">
        <v>3.0303902688107689</v>
      </c>
      <c r="R12" s="4">
        <v>1340372</v>
      </c>
      <c r="S12" s="3">
        <v>31</v>
      </c>
      <c r="T12" s="16">
        <v>2.3127907774856533</v>
      </c>
      <c r="X12" s="4">
        <v>1363380</v>
      </c>
      <c r="Y12" s="3">
        <v>33</v>
      </c>
      <c r="Z12" s="16">
        <v>2.4204550455485632</v>
      </c>
      <c r="AD12" s="4">
        <v>1391802</v>
      </c>
      <c r="AE12" s="3">
        <v>31</v>
      </c>
      <c r="AF12" s="16">
        <v>2.2273283125042211</v>
      </c>
      <c r="AJ12" s="4">
        <v>1428241</v>
      </c>
      <c r="AK12" s="3">
        <v>44</v>
      </c>
      <c r="AL12" s="16">
        <v>3.0807125688171673</v>
      </c>
      <c r="AP12" s="4">
        <v>1468669</v>
      </c>
      <c r="AQ12" s="3">
        <v>38</v>
      </c>
      <c r="AR12" s="16">
        <v>2.5873767336275226</v>
      </c>
      <c r="AV12" s="4">
        <v>1505105</v>
      </c>
      <c r="AW12" s="3">
        <v>48</v>
      </c>
      <c r="AX12" s="16">
        <v>3.1891462721869903</v>
      </c>
      <c r="BB12" s="4">
        <v>1534320</v>
      </c>
      <c r="BC12" s="3">
        <v>24</v>
      </c>
      <c r="BD12" s="16">
        <v>1.5642108556233378</v>
      </c>
      <c r="BH12" s="4">
        <v>1554439</v>
      </c>
      <c r="BI12" s="3">
        <v>22</v>
      </c>
      <c r="BJ12" s="16">
        <v>1.4153015975538443</v>
      </c>
      <c r="BN12" s="6">
        <v>1570819</v>
      </c>
      <c r="BO12" s="3">
        <v>22</v>
      </c>
      <c r="BP12" s="16">
        <v>1.4005432834718703</v>
      </c>
      <c r="BT12" s="6">
        <v>1584272</v>
      </c>
      <c r="BU12" s="3">
        <v>29</v>
      </c>
      <c r="BV12" s="16">
        <v>1.8304937535978671</v>
      </c>
      <c r="BZ12" s="6">
        <v>1595910</v>
      </c>
      <c r="CA12" s="3">
        <v>32</v>
      </c>
      <c r="CB12" s="16">
        <v>2.0051256023209327</v>
      </c>
      <c r="CF12" s="6">
        <v>1612053</v>
      </c>
      <c r="CG12" s="3">
        <v>31</v>
      </c>
      <c r="CH12" s="16">
        <v>1.9230136974404688</v>
      </c>
      <c r="CL12" s="6">
        <v>1632248</v>
      </c>
      <c r="CM12" s="3">
        <v>36</v>
      </c>
      <c r="CN12" s="16">
        <v>2.205547196259392</v>
      </c>
      <c r="CR12" s="6">
        <v>1652495</v>
      </c>
      <c r="CS12" s="3">
        <v>33</v>
      </c>
      <c r="CT12" s="16">
        <v>1.996980323692356</v>
      </c>
      <c r="CX12" s="6">
        <v>1684036</v>
      </c>
      <c r="CY12" s="3">
        <v>30</v>
      </c>
      <c r="CZ12" s="16">
        <v>1.7814346011605451</v>
      </c>
      <c r="DD12" s="6">
        <v>1719745</v>
      </c>
      <c r="DE12" s="3">
        <v>50</v>
      </c>
      <c r="DF12" s="16">
        <v>2.9074077842936017</v>
      </c>
      <c r="DJ12" s="6">
        <v>1752074</v>
      </c>
      <c r="DK12" s="3">
        <v>41</v>
      </c>
      <c r="DL12" s="16">
        <v>2.3400838092454999</v>
      </c>
      <c r="DP12" s="6">
        <v>1789060</v>
      </c>
      <c r="DQ12" s="3">
        <v>27</v>
      </c>
      <c r="DR12" s="16">
        <v>1.5091724145640728</v>
      </c>
      <c r="DV12" s="6">
        <v>1839106</v>
      </c>
      <c r="DW12" s="3">
        <v>42</v>
      </c>
      <c r="DX12" s="16">
        <v>2.1205955502292961</v>
      </c>
    </row>
    <row r="13" spans="1:129" x14ac:dyDescent="0.3">
      <c r="A13" s="3" t="s">
        <v>135</v>
      </c>
      <c r="B13" s="3" t="s">
        <v>94</v>
      </c>
      <c r="C13" s="4">
        <v>6091866</v>
      </c>
      <c r="D13" s="3">
        <v>366</v>
      </c>
      <c r="E13" s="5">
        <v>6.0080113383977913</v>
      </c>
      <c r="F13" s="4">
        <f>C13-860454</f>
        <v>5231412</v>
      </c>
      <c r="G13" s="3">
        <f>D13-109</f>
        <v>257</v>
      </c>
      <c r="H13" s="16">
        <f>(G13/F13)*100000</f>
        <v>4.9126316183852463</v>
      </c>
      <c r="I13" s="4">
        <v>6127760</v>
      </c>
      <c r="J13" s="3">
        <v>435</v>
      </c>
      <c r="K13" s="5">
        <v>7.0988419912007004</v>
      </c>
      <c r="L13" s="4">
        <f>I13-865662</f>
        <v>5262098</v>
      </c>
      <c r="M13" s="3">
        <f>J13-123</f>
        <v>312</v>
      </c>
      <c r="N13" s="16">
        <f>(M13/L13)*100000</f>
        <v>5.929194021091968</v>
      </c>
      <c r="O13" s="4">
        <v>6155967</v>
      </c>
      <c r="P13" s="3">
        <v>384</v>
      </c>
      <c r="Q13" s="5">
        <v>6.2378502029006979</v>
      </c>
      <c r="R13" s="4">
        <f>O13-866210</f>
        <v>5289757</v>
      </c>
      <c r="S13" s="3">
        <f>P13-112</f>
        <v>272</v>
      </c>
      <c r="T13" s="16">
        <f>(S13/R13)*100000</f>
        <v>5.1420131397340176</v>
      </c>
      <c r="U13" s="4">
        <v>6196638</v>
      </c>
      <c r="V13" s="3">
        <v>345</v>
      </c>
      <c r="W13" s="5">
        <v>5.5675351698776012</v>
      </c>
      <c r="X13" s="4">
        <f>U13-868576</f>
        <v>5328062</v>
      </c>
      <c r="Y13" s="3">
        <f>V13-104</f>
        <v>241</v>
      </c>
      <c r="Z13" s="16">
        <f>(Y13/X13)*100000</f>
        <v>4.5232206381982794</v>
      </c>
      <c r="AA13" s="4">
        <v>6233007</v>
      </c>
      <c r="AB13" s="3">
        <v>332</v>
      </c>
      <c r="AC13" s="5">
        <v>5.3264820655584053</v>
      </c>
      <c r="AD13" s="4">
        <f>AA13-870378</f>
        <v>5362629</v>
      </c>
      <c r="AE13" s="3">
        <f>AB13-106</f>
        <v>226</v>
      </c>
      <c r="AF13" s="16">
        <f>(AE13/AD13)*100000</f>
        <v>4.2143508342643132</v>
      </c>
      <c r="AG13" s="4">
        <v>6278616</v>
      </c>
      <c r="AH13" s="3">
        <v>366</v>
      </c>
      <c r="AI13" s="5">
        <v>5.8293101537026626</v>
      </c>
      <c r="AJ13" s="4">
        <f>AG13-873310</f>
        <v>5405306</v>
      </c>
      <c r="AK13" s="3">
        <f>AH13-112</f>
        <v>254</v>
      </c>
      <c r="AL13" s="16">
        <f>(AK13/AJ13)*100000</f>
        <v>4.6990864161991936</v>
      </c>
      <c r="AM13" s="4">
        <v>6332669</v>
      </c>
      <c r="AN13" s="3">
        <v>372</v>
      </c>
      <c r="AO13" s="5">
        <v>5.8743003937202465</v>
      </c>
      <c r="AP13" s="4">
        <f>AM13-878515</f>
        <v>5454154</v>
      </c>
      <c r="AQ13" s="3">
        <f>AN13-143</f>
        <v>229</v>
      </c>
      <c r="AR13" s="16">
        <f>(AQ13/AP13)*100000</f>
        <v>4.1986346553470986</v>
      </c>
      <c r="AS13" s="4">
        <v>6379599</v>
      </c>
      <c r="AT13" s="3">
        <v>370</v>
      </c>
      <c r="AU13" s="5">
        <v>5.7997375697124536</v>
      </c>
      <c r="AV13" s="4">
        <f>AS13-883591</f>
        <v>5496008</v>
      </c>
      <c r="AW13" s="3">
        <f>AT13-117</f>
        <v>253</v>
      </c>
      <c r="AX13" s="16">
        <f>(AW13/AV13)*100000</f>
        <v>4.6033411887318945</v>
      </c>
      <c r="AY13" s="4">
        <v>6424806</v>
      </c>
      <c r="AZ13" s="3">
        <v>319</v>
      </c>
      <c r="BA13" s="5">
        <v>4.965130464639711</v>
      </c>
      <c r="BB13" s="4">
        <f>AY13-889504</f>
        <v>5535302</v>
      </c>
      <c r="BC13" s="3">
        <f>AZ13-115</f>
        <v>204</v>
      </c>
      <c r="BD13" s="16">
        <f>(BC13/BB13)*100000</f>
        <v>3.6854357720680824</v>
      </c>
      <c r="BE13" s="4">
        <v>6459325</v>
      </c>
      <c r="BF13" s="3">
        <v>340</v>
      </c>
      <c r="BG13" s="5">
        <v>5.2637078951748055</v>
      </c>
      <c r="BH13" s="4">
        <f>BE13-898394</f>
        <v>5560931</v>
      </c>
      <c r="BI13" s="3">
        <f>BF13-102</f>
        <v>238</v>
      </c>
      <c r="BJ13" s="16">
        <f>(BI13/BH13)*100000</f>
        <v>4.279858894131217</v>
      </c>
      <c r="BK13" s="6">
        <v>6490555</v>
      </c>
      <c r="BL13" s="3">
        <v>314</v>
      </c>
      <c r="BM13" s="5">
        <v>4.8377989247452646</v>
      </c>
      <c r="BN13" s="4">
        <f>BK13-903393</f>
        <v>5587162</v>
      </c>
      <c r="BO13" s="3">
        <f>BL13-112</f>
        <v>202</v>
      </c>
      <c r="BP13" s="16">
        <f>(BO13/BN13)*100000</f>
        <v>3.6154312332450713</v>
      </c>
      <c r="BQ13" s="6">
        <v>6517250</v>
      </c>
      <c r="BR13" s="3">
        <v>312</v>
      </c>
      <c r="BS13" s="5">
        <v>4.7872952549004566</v>
      </c>
      <c r="BT13" s="4">
        <f>BQ13-911296</f>
        <v>5605954</v>
      </c>
      <c r="BU13" s="3">
        <f>BR13-102</f>
        <v>210</v>
      </c>
      <c r="BV13" s="16">
        <f>(BU13/BT13)*100000</f>
        <v>3.7460171810186096</v>
      </c>
      <c r="BW13" s="6">
        <v>6538989</v>
      </c>
      <c r="BX13" s="3">
        <v>342</v>
      </c>
      <c r="BY13" s="5">
        <v>5.2301663147009423</v>
      </c>
      <c r="BZ13" s="4">
        <f>BW13-918977</f>
        <v>5620012</v>
      </c>
      <c r="CA13" s="3">
        <f>BX13-109</f>
        <v>233</v>
      </c>
      <c r="CB13" s="16">
        <f>(CA13/BZ13)*100000</f>
        <v>4.1458986208570376</v>
      </c>
      <c r="CC13" s="6">
        <v>6570575</v>
      </c>
      <c r="CD13" s="3">
        <v>398</v>
      </c>
      <c r="CE13" s="5">
        <v>6.0573085308363428</v>
      </c>
      <c r="CF13" s="4">
        <f>CC13-928281</f>
        <v>5642294</v>
      </c>
      <c r="CG13" s="3">
        <f>CD13-141</f>
        <v>257</v>
      </c>
      <c r="CH13" s="16">
        <f>(CG13/CF13)*100000</f>
        <v>4.5548849457330656</v>
      </c>
      <c r="CI13" s="6">
        <v>6596019</v>
      </c>
      <c r="CJ13" s="3">
        <v>364</v>
      </c>
      <c r="CK13" s="5">
        <v>5.5184801620492605</v>
      </c>
      <c r="CL13" s="4">
        <f>CI13-934243</f>
        <v>5661776</v>
      </c>
      <c r="CM13" s="3">
        <f>CJ13-142</f>
        <v>222</v>
      </c>
      <c r="CN13" s="16">
        <f>(CM13/CL13)*100000</f>
        <v>3.9210311393456756</v>
      </c>
      <c r="CO13" s="6">
        <v>6611442</v>
      </c>
      <c r="CP13" s="3">
        <v>389</v>
      </c>
      <c r="CQ13" s="5">
        <v>5.8837391298297712</v>
      </c>
      <c r="CR13" s="4">
        <f>CO13-939020</f>
        <v>5672422</v>
      </c>
      <c r="CS13" s="3">
        <f>CP13-142</f>
        <v>247</v>
      </c>
      <c r="CT13" s="16">
        <f>(CS13/CR13)*100000</f>
        <v>4.354400994848409</v>
      </c>
      <c r="CU13" s="6">
        <v>6637898</v>
      </c>
      <c r="CV13" s="3">
        <v>480</v>
      </c>
      <c r="CW13" s="5">
        <v>7.2312048181517703</v>
      </c>
      <c r="CX13" s="4">
        <f>CU13-941229</f>
        <v>5696669</v>
      </c>
      <c r="CY13" s="3">
        <f>CV13-174</f>
        <v>306</v>
      </c>
      <c r="CZ13" s="16">
        <f>(CY13/CX13)*100000</f>
        <v>5.3715601169736207</v>
      </c>
      <c r="DA13" s="6">
        <v>6662068</v>
      </c>
      <c r="DB13" s="3">
        <v>456</v>
      </c>
      <c r="DC13" s="5">
        <v>6.8447214888830317</v>
      </c>
      <c r="DD13" s="4">
        <f>DA13-950082</f>
        <v>5711986</v>
      </c>
      <c r="DE13" s="3">
        <f>DB13-167</f>
        <v>289</v>
      </c>
      <c r="DF13" s="16">
        <f>(DE13/DD13)*100000</f>
        <v>5.0595362103478543</v>
      </c>
      <c r="DG13" s="6">
        <v>6698481</v>
      </c>
      <c r="DH13" s="3">
        <v>473</v>
      </c>
      <c r="DI13" s="5">
        <v>7.0613024057245219</v>
      </c>
      <c r="DJ13" s="4">
        <f>DG13-954670</f>
        <v>5743811</v>
      </c>
      <c r="DK13" s="3">
        <f>DH13-174</f>
        <v>299</v>
      </c>
      <c r="DL13" s="16">
        <f>(DK13/DJ13)*100000</f>
        <v>5.2056030395150543</v>
      </c>
      <c r="DM13" s="6">
        <v>6731010</v>
      </c>
      <c r="DN13" s="3">
        <v>466</v>
      </c>
      <c r="DO13" s="5">
        <v>6.9231809193568274</v>
      </c>
      <c r="DP13" s="4">
        <f>DM13-964582</f>
        <v>5766428</v>
      </c>
      <c r="DQ13" s="3">
        <f>DN13-169</f>
        <v>297</v>
      </c>
      <c r="DR13" s="16">
        <f>(DQ13/DP13)*100000</f>
        <v>5.1505021826336854</v>
      </c>
      <c r="DS13" s="6">
        <v>6732000</v>
      </c>
      <c r="DT13" s="3">
        <v>617</v>
      </c>
      <c r="DU13" s="5">
        <v>7.5014854426619131</v>
      </c>
      <c r="DV13" s="4">
        <f>DS13-966183</f>
        <v>5765817</v>
      </c>
      <c r="DW13" s="3">
        <f>DT13-241</f>
        <v>376</v>
      </c>
      <c r="DX13" s="16">
        <f>(DW13/DV13)*100000</f>
        <v>6.5211920530949907</v>
      </c>
    </row>
    <row r="14" spans="1:129" x14ac:dyDescent="0.3">
      <c r="A14" s="3" t="s">
        <v>100</v>
      </c>
      <c r="B14" s="3" t="s">
        <v>94</v>
      </c>
      <c r="F14" s="4">
        <v>2929067</v>
      </c>
      <c r="G14" s="3">
        <v>57</v>
      </c>
      <c r="H14" s="16">
        <v>1.9460121601861617</v>
      </c>
      <c r="L14" s="4">
        <v>2931997</v>
      </c>
      <c r="M14" s="3">
        <v>61</v>
      </c>
      <c r="N14" s="16">
        <v>2.0804932610776885</v>
      </c>
      <c r="R14" s="4">
        <v>2934234</v>
      </c>
      <c r="S14" s="3">
        <v>54</v>
      </c>
      <c r="T14" s="16">
        <v>1.8403440216424456</v>
      </c>
      <c r="X14" s="4">
        <v>2941999</v>
      </c>
      <c r="Y14" s="3">
        <v>50</v>
      </c>
      <c r="Z14" s="16">
        <v>1.6995247109193445</v>
      </c>
      <c r="AD14" s="4">
        <v>2953635</v>
      </c>
      <c r="AE14" s="3">
        <v>57</v>
      </c>
      <c r="AF14" s="16">
        <v>1.9298254523663214</v>
      </c>
      <c r="AJ14" s="4">
        <v>2964454</v>
      </c>
      <c r="AK14" s="3">
        <v>43</v>
      </c>
      <c r="AL14" s="16">
        <v>1.4505200620417789</v>
      </c>
      <c r="AP14" s="4">
        <v>2982644</v>
      </c>
      <c r="AQ14" s="3">
        <v>73</v>
      </c>
      <c r="AR14" s="16">
        <v>2.4474928955651429</v>
      </c>
      <c r="AV14" s="4">
        <v>2999212</v>
      </c>
      <c r="AW14" s="3">
        <v>50</v>
      </c>
      <c r="AX14" s="16">
        <v>1.6671045594642859</v>
      </c>
      <c r="BB14" s="4">
        <v>3016734</v>
      </c>
      <c r="BC14" s="3">
        <v>81</v>
      </c>
      <c r="BD14" s="16">
        <v>2.6850229420293603</v>
      </c>
      <c r="BH14" s="4">
        <v>3032870</v>
      </c>
      <c r="BI14" s="3">
        <v>43</v>
      </c>
      <c r="BJ14" s="16">
        <v>1.4177989824819395</v>
      </c>
      <c r="BN14" s="6">
        <v>3050819</v>
      </c>
      <c r="BO14" s="3">
        <v>54</v>
      </c>
      <c r="BP14" s="16">
        <v>1.7700165103206713</v>
      </c>
      <c r="BT14" s="6">
        <v>3066772</v>
      </c>
      <c r="BU14" s="3">
        <v>52</v>
      </c>
      <c r="BV14" s="16">
        <v>1.6955939339474861</v>
      </c>
      <c r="BZ14" s="6">
        <v>3076844</v>
      </c>
      <c r="CA14" s="3">
        <v>61</v>
      </c>
      <c r="CB14" s="16">
        <v>1.9825509515594553</v>
      </c>
      <c r="CF14" s="6">
        <v>3093935</v>
      </c>
      <c r="CG14" s="3">
        <v>57</v>
      </c>
      <c r="CH14" s="16">
        <v>1.8423140757643583</v>
      </c>
      <c r="CL14" s="6">
        <v>3110643</v>
      </c>
      <c r="CM14" s="3">
        <v>78</v>
      </c>
      <c r="CN14" s="16">
        <v>2.5075201493710462</v>
      </c>
      <c r="CR14" s="6">
        <v>3122541</v>
      </c>
      <c r="CS14" s="3">
        <v>73</v>
      </c>
      <c r="CT14" s="16">
        <v>2.337839599223837</v>
      </c>
      <c r="CX14" s="6">
        <v>3133210</v>
      </c>
      <c r="CY14" s="3">
        <v>85</v>
      </c>
      <c r="CZ14" s="16">
        <v>2.7128727407355395</v>
      </c>
      <c r="DD14" s="6">
        <v>3143734</v>
      </c>
      <c r="DE14" s="3">
        <v>104</v>
      </c>
      <c r="DF14" s="16">
        <v>3.3081679302383722</v>
      </c>
      <c r="DJ14" s="6">
        <v>3149900</v>
      </c>
      <c r="DK14" s="3">
        <v>81</v>
      </c>
      <c r="DL14" s="16">
        <v>2.5715102066732278</v>
      </c>
      <c r="DP14" s="6">
        <v>3159596</v>
      </c>
      <c r="DQ14" s="3">
        <v>80</v>
      </c>
      <c r="DR14" s="16">
        <v>2.5319692770847921</v>
      </c>
      <c r="DV14" s="6">
        <v>3155000</v>
      </c>
      <c r="DW14" s="3">
        <v>106</v>
      </c>
      <c r="DX14" s="16">
        <v>3.4865293185419972</v>
      </c>
    </row>
    <row r="15" spans="1:129" x14ac:dyDescent="0.3">
      <c r="A15" s="3" t="s">
        <v>136</v>
      </c>
      <c r="B15" s="3" t="s">
        <v>94</v>
      </c>
      <c r="C15" s="4">
        <v>2693681</v>
      </c>
      <c r="D15" s="3">
        <v>140</v>
      </c>
      <c r="E15" s="5">
        <v>5.1973489065705998</v>
      </c>
      <c r="F15" s="4">
        <f>C15-452869</f>
        <v>2240812</v>
      </c>
      <c r="G15" s="3">
        <f>D15-36</f>
        <v>104</v>
      </c>
      <c r="H15" s="16">
        <f>(G15/F15)*100000</f>
        <v>4.6411747170222224</v>
      </c>
      <c r="I15" s="4">
        <v>2702162</v>
      </c>
      <c r="J15" s="3">
        <v>142</v>
      </c>
      <c r="K15" s="5">
        <v>5.2550513255681928</v>
      </c>
      <c r="L15" s="4">
        <f>I15-456887</f>
        <v>2245275</v>
      </c>
      <c r="M15" s="3">
        <f>J15-18</f>
        <v>124</v>
      </c>
      <c r="N15" s="16">
        <f>(M15/L15)*100000</f>
        <v>5.5227087995902506</v>
      </c>
      <c r="O15" s="4">
        <v>2713535</v>
      </c>
      <c r="P15" s="3">
        <v>129</v>
      </c>
      <c r="Q15" s="5">
        <v>4.7539464204441808</v>
      </c>
      <c r="R15" s="4">
        <f>O15-461020</f>
        <v>2252515</v>
      </c>
      <c r="S15" s="3">
        <f>P15-29</f>
        <v>100</v>
      </c>
      <c r="T15" s="16">
        <f>(S15/R15)*100000</f>
        <v>4.4394820900193785</v>
      </c>
      <c r="U15" s="4">
        <v>2723004</v>
      </c>
      <c r="V15" s="3">
        <v>120</v>
      </c>
      <c r="W15" s="5">
        <v>4.4068976762428553</v>
      </c>
      <c r="X15" s="4">
        <f>U15-462442</f>
        <v>2260562</v>
      </c>
      <c r="Y15" s="3">
        <f>V15-24</f>
        <v>96</v>
      </c>
      <c r="Z15" s="16">
        <f>(Y15/X15)*100000</f>
        <v>4.2467315649825128</v>
      </c>
      <c r="AA15" s="4">
        <v>2734373</v>
      </c>
      <c r="AB15" s="3">
        <v>116</v>
      </c>
      <c r="AC15" s="5">
        <v>4.2422888172169637</v>
      </c>
      <c r="AD15" s="4">
        <f>AA15-464021</f>
        <v>2270352</v>
      </c>
      <c r="AE15" s="3">
        <f>AB15-33</f>
        <v>83</v>
      </c>
      <c r="AF15" s="16">
        <f>(AE15/AD15)*100000</f>
        <v>3.6558207714046103</v>
      </c>
      <c r="AG15" s="4">
        <v>2745299</v>
      </c>
      <c r="AH15" s="3">
        <v>106</v>
      </c>
      <c r="AI15" s="5">
        <v>3.8611459079684947</v>
      </c>
      <c r="AJ15" s="4">
        <f>AG15-467113</f>
        <v>2278186</v>
      </c>
      <c r="AK15" s="3">
        <f>AH15-15</f>
        <v>91</v>
      </c>
      <c r="AL15" s="16">
        <f>(AK15/AJ15)*100000</f>
        <v>3.9944060757111144</v>
      </c>
      <c r="AM15" s="4">
        <v>2762931</v>
      </c>
      <c r="AN15" s="3">
        <v>113</v>
      </c>
      <c r="AO15" s="5">
        <v>4.089859645427266</v>
      </c>
      <c r="AP15" s="4">
        <f>AM15-471659</f>
        <v>2291272</v>
      </c>
      <c r="AQ15" s="3">
        <f>AN15-28</f>
        <v>85</v>
      </c>
      <c r="AR15" s="16">
        <f>(AQ15/AP15)*100000</f>
        <v>3.7097297920107257</v>
      </c>
      <c r="AS15" s="4">
        <v>2783785</v>
      </c>
      <c r="AT15" s="3">
        <v>113</v>
      </c>
      <c r="AU15" s="5">
        <v>4.059221527524576</v>
      </c>
      <c r="AV15" s="4">
        <f>AS15-478479</f>
        <v>2305306</v>
      </c>
      <c r="AW15" s="3">
        <f>AT15-45</f>
        <v>68</v>
      </c>
      <c r="AX15" s="16">
        <f>(AW15/AV15)*100000</f>
        <v>2.9497168705586154</v>
      </c>
      <c r="AY15" s="4">
        <v>2808076</v>
      </c>
      <c r="AZ15" s="3">
        <v>111</v>
      </c>
      <c r="BA15" s="5">
        <v>3.9528844660899489</v>
      </c>
      <c r="BB15" s="4">
        <f>AY15-486077</f>
        <v>2321999</v>
      </c>
      <c r="BC15" s="3">
        <f>AZ15-27</f>
        <v>84</v>
      </c>
      <c r="BD15" s="16">
        <f>(BC15/BB15)*100000</f>
        <v>3.6175726173870015</v>
      </c>
      <c r="BE15" s="4">
        <v>2832704</v>
      </c>
      <c r="BF15" s="3">
        <v>127</v>
      </c>
      <c r="BG15" s="5">
        <v>4.4833487720566643</v>
      </c>
      <c r="BH15" s="4">
        <f>BE15-495006</f>
        <v>2337698</v>
      </c>
      <c r="BI15" s="3">
        <f>BF15-27</f>
        <v>100</v>
      </c>
      <c r="BJ15" s="16">
        <f>(BI15/BH15)*100000</f>
        <v>4.277712518896795</v>
      </c>
      <c r="BK15" s="6">
        <v>2858266</v>
      </c>
      <c r="BL15" s="3">
        <v>103</v>
      </c>
      <c r="BM15" s="5">
        <v>3.603583431353135</v>
      </c>
      <c r="BN15" s="4">
        <f>BK15-498365</f>
        <v>2359901</v>
      </c>
      <c r="BO15" s="3">
        <f>BL15-21</f>
        <v>82</v>
      </c>
      <c r="BP15" s="16">
        <f>(BO15/BN15)*100000</f>
        <v>3.4747220328310382</v>
      </c>
      <c r="BQ15" s="6">
        <v>2869677</v>
      </c>
      <c r="BR15" s="3">
        <v>122</v>
      </c>
      <c r="BS15" s="5">
        <v>4.25134954212617</v>
      </c>
      <c r="BT15" s="4">
        <f>BQ15-501076</f>
        <v>2368601</v>
      </c>
      <c r="BU15" s="3">
        <f>BR15-23</f>
        <v>99</v>
      </c>
      <c r="BV15" s="16">
        <f>(BU15/BT15)*100000</f>
        <v>4.179682437016619</v>
      </c>
      <c r="BW15" s="6">
        <v>2886024</v>
      </c>
      <c r="BX15" s="3">
        <v>102</v>
      </c>
      <c r="BY15" s="5">
        <v>3.5342741432503679</v>
      </c>
      <c r="BZ15" s="4">
        <f>BW15-503889</f>
        <v>2382135</v>
      </c>
      <c r="CA15" s="3">
        <f>BX15-26</f>
        <v>76</v>
      </c>
      <c r="CB15" s="16">
        <f>(CA15/BZ15)*100000</f>
        <v>3.1904153207102031</v>
      </c>
      <c r="CC15" s="6">
        <v>2894306</v>
      </c>
      <c r="CD15" s="3">
        <v>116</v>
      </c>
      <c r="CE15" s="5">
        <v>4.0078692439569279</v>
      </c>
      <c r="CF15" s="4">
        <f>CC15-505415</f>
        <v>2388891</v>
      </c>
      <c r="CG15" s="3">
        <f>CD15-20</f>
        <v>96</v>
      </c>
      <c r="CH15" s="16">
        <f>(CG15/CF15)*100000</f>
        <v>4.0186010998408888</v>
      </c>
      <c r="CI15" s="6">
        <v>2901861</v>
      </c>
      <c r="CJ15" s="3">
        <v>104</v>
      </c>
      <c r="CK15" s="5">
        <v>3.5839070169108722</v>
      </c>
      <c r="CL15" s="4">
        <f>CI15-508803</f>
        <v>2393058</v>
      </c>
      <c r="CM15" s="3">
        <f>CJ15-25</f>
        <v>79</v>
      </c>
      <c r="CN15" s="16">
        <f>(CM15/CL15)*100000</f>
        <v>3.3012154323046077</v>
      </c>
      <c r="CO15" s="6">
        <v>2910717</v>
      </c>
      <c r="CP15" s="3">
        <v>132</v>
      </c>
      <c r="CQ15" s="5">
        <v>4.5349650962288672</v>
      </c>
      <c r="CR15" s="4">
        <f>CO15-511574</f>
        <v>2399143</v>
      </c>
      <c r="CS15" s="3">
        <f>CP15-34</f>
        <v>98</v>
      </c>
      <c r="CT15" s="16">
        <f>(CS15/CR15)*100000</f>
        <v>4.0847919444568328</v>
      </c>
      <c r="CU15" s="6">
        <v>2912977</v>
      </c>
      <c r="CV15" s="3">
        <v>147</v>
      </c>
      <c r="CW15" s="5">
        <v>5.0463838197143334</v>
      </c>
      <c r="CX15" s="4">
        <f>CU15-511995</f>
        <v>2400982</v>
      </c>
      <c r="CY15" s="3">
        <f>CV15-34</f>
        <v>113</v>
      </c>
      <c r="CZ15" s="16">
        <f>(CY15/CX15)*100000</f>
        <v>4.7064076282121237</v>
      </c>
      <c r="DA15" s="6">
        <v>2910892</v>
      </c>
      <c r="DB15" s="3">
        <v>185</v>
      </c>
      <c r="DC15" s="5">
        <v>6.3554401880935467</v>
      </c>
      <c r="DD15" s="4">
        <f>DA15-513687</f>
        <v>2397205</v>
      </c>
      <c r="DE15" s="3">
        <f>DB15-37</f>
        <v>148</v>
      </c>
      <c r="DF15" s="16">
        <f>(DE15/DD15)*100000</f>
        <v>6.1738566372087496</v>
      </c>
      <c r="DG15" s="6">
        <v>2912748</v>
      </c>
      <c r="DH15" s="3">
        <v>160</v>
      </c>
      <c r="DI15" s="5">
        <v>5.4930944935847519</v>
      </c>
      <c r="DJ15" s="4">
        <f>DG15-513607</f>
        <v>2399141</v>
      </c>
      <c r="DK15" s="3">
        <f>DH15-48</f>
        <v>112</v>
      </c>
      <c r="DL15" s="16">
        <f>(DK15/DJ15)*100000</f>
        <v>4.6683375424787457</v>
      </c>
      <c r="DM15" s="6">
        <v>2912635</v>
      </c>
      <c r="DN15" s="3">
        <v>137</v>
      </c>
      <c r="DO15" s="5">
        <v>4.703644637930946</v>
      </c>
      <c r="DP15" s="4">
        <f>DM15-516042</f>
        <v>2396593</v>
      </c>
      <c r="DQ15" s="3">
        <f>DN15-34</f>
        <v>103</v>
      </c>
      <c r="DR15" s="16">
        <f>(DQ15/DP15)*100000</f>
        <v>4.2977677060727455</v>
      </c>
      <c r="DS15" s="6">
        <v>2937880</v>
      </c>
      <c r="DT15" s="3">
        <v>194</v>
      </c>
      <c r="DU15" s="5">
        <v>6.5693629419853767</v>
      </c>
      <c r="DV15" s="4">
        <f>DS15-519907</f>
        <v>2417973</v>
      </c>
      <c r="DW15" s="3">
        <f>DT15-60</f>
        <v>134</v>
      </c>
      <c r="DX15" s="16">
        <f>(DW15/DV15)*100000</f>
        <v>5.5418319393971727</v>
      </c>
    </row>
    <row r="16" spans="1:129" x14ac:dyDescent="0.3">
      <c r="A16" s="3" t="s">
        <v>106</v>
      </c>
      <c r="B16" s="3" t="s">
        <v>94</v>
      </c>
      <c r="F16" s="4">
        <v>903773</v>
      </c>
      <c r="G16" s="3">
        <v>35</v>
      </c>
      <c r="H16" s="16">
        <v>3.8726538633041701</v>
      </c>
      <c r="L16" s="4">
        <v>906961</v>
      </c>
      <c r="M16" s="3">
        <v>31</v>
      </c>
      <c r="N16" s="16">
        <v>3.4180080510628352</v>
      </c>
      <c r="R16" s="4">
        <v>911667</v>
      </c>
      <c r="S16" s="3">
        <v>23</v>
      </c>
      <c r="T16" s="16">
        <v>2.5228509971294342</v>
      </c>
      <c r="X16" s="4">
        <v>919630</v>
      </c>
      <c r="Y16" s="3">
        <v>37</v>
      </c>
      <c r="Z16" s="16">
        <v>4.0233572197514214</v>
      </c>
      <c r="AD16" s="4">
        <v>930009</v>
      </c>
      <c r="AE16" s="3">
        <v>25</v>
      </c>
      <c r="AF16" s="16">
        <v>2.6881460286943462</v>
      </c>
      <c r="AJ16" s="4">
        <v>940102</v>
      </c>
      <c r="AK16" s="3">
        <v>32</v>
      </c>
      <c r="AL16" s="16">
        <v>3.4038859613105812</v>
      </c>
      <c r="AP16" s="4">
        <v>952692</v>
      </c>
      <c r="AQ16" s="3">
        <v>35</v>
      </c>
      <c r="AR16" s="16">
        <v>3.6738001368752964</v>
      </c>
      <c r="AV16" s="4">
        <v>964706</v>
      </c>
      <c r="AW16" s="3">
        <v>24</v>
      </c>
      <c r="AX16" s="16">
        <v>2.4878045746579787</v>
      </c>
      <c r="BB16" s="4">
        <v>976415</v>
      </c>
      <c r="BC16" s="3">
        <v>40</v>
      </c>
      <c r="BD16" s="16">
        <v>4.0966187532964984</v>
      </c>
      <c r="BH16" s="4">
        <v>983982</v>
      </c>
      <c r="BI16" s="3">
        <v>35</v>
      </c>
      <c r="BJ16" s="16">
        <v>3.5569756357331737</v>
      </c>
      <c r="BN16" s="6">
        <v>990730</v>
      </c>
      <c r="BO16" s="3">
        <v>28</v>
      </c>
      <c r="BP16" s="16">
        <v>2.826198863464314</v>
      </c>
      <c r="BT16" s="6">
        <v>997518</v>
      </c>
      <c r="BU16" s="3">
        <v>26</v>
      </c>
      <c r="BV16" s="16">
        <v>2.6064692566951173</v>
      </c>
      <c r="BZ16" s="6">
        <v>1004168</v>
      </c>
      <c r="CA16" s="3">
        <v>24</v>
      </c>
      <c r="CB16" s="16">
        <v>2.3900383202810684</v>
      </c>
      <c r="CF16" s="6">
        <v>1014158</v>
      </c>
      <c r="CG16" s="3">
        <v>33</v>
      </c>
      <c r="CH16" s="16">
        <v>3.2539308470672226</v>
      </c>
      <c r="CL16" s="6">
        <v>1022657</v>
      </c>
      <c r="CM16" s="3">
        <v>30</v>
      </c>
      <c r="CN16" s="16">
        <v>2.9335348997757804</v>
      </c>
      <c r="CR16" s="6">
        <v>1031495</v>
      </c>
      <c r="CS16" s="3">
        <v>38</v>
      </c>
      <c r="CT16" s="16">
        <v>3.6839732621098502</v>
      </c>
      <c r="CX16" s="6">
        <v>1042137</v>
      </c>
      <c r="CY16" s="3">
        <v>42</v>
      </c>
      <c r="CZ16" s="16">
        <v>4.0301802929941077</v>
      </c>
      <c r="DD16" s="6">
        <v>1053862</v>
      </c>
      <c r="DE16" s="3">
        <v>42</v>
      </c>
      <c r="DF16" s="16">
        <v>3.9853415342805794</v>
      </c>
      <c r="DJ16" s="6">
        <v>1061818</v>
      </c>
      <c r="DK16" s="3">
        <v>42</v>
      </c>
      <c r="DL16" s="16">
        <v>3.9554801293630359</v>
      </c>
      <c r="DP16" s="6">
        <v>1070123</v>
      </c>
      <c r="DQ16" s="3">
        <v>39</v>
      </c>
      <c r="DR16" s="16">
        <v>3.6444408726847288</v>
      </c>
      <c r="DV16" s="6">
        <v>1080577</v>
      </c>
      <c r="DW16" s="3">
        <v>65</v>
      </c>
      <c r="DX16" s="16">
        <v>4.6271575278763111</v>
      </c>
    </row>
    <row r="17" spans="1:132" x14ac:dyDescent="0.3">
      <c r="A17" s="2" t="s">
        <v>137</v>
      </c>
      <c r="B17" s="3" t="s">
        <v>94</v>
      </c>
      <c r="C17" s="4">
        <v>1713820</v>
      </c>
      <c r="D17" s="3">
        <v>64</v>
      </c>
      <c r="E17" s="5">
        <v>3.7343478311607985</v>
      </c>
      <c r="F17" s="4">
        <f>C17-463585</f>
        <v>1250235</v>
      </c>
      <c r="G17" s="3">
        <f>D17-33</f>
        <v>31</v>
      </c>
      <c r="H17" s="16">
        <f>(G17/F17)*100000</f>
        <v>2.4795338476366444</v>
      </c>
      <c r="I17" s="4">
        <v>1719836</v>
      </c>
      <c r="J17" s="3">
        <v>44</v>
      </c>
      <c r="K17" s="5">
        <v>2.5583834737730808</v>
      </c>
      <c r="L17" s="4">
        <f>I17-468125</f>
        <v>1251711</v>
      </c>
      <c r="M17" s="3">
        <f>J17-24</f>
        <v>20</v>
      </c>
      <c r="N17" s="16">
        <f>(M17/L17)*100000</f>
        <v>1.5978129136837496</v>
      </c>
      <c r="O17" s="4">
        <v>1728292</v>
      </c>
      <c r="P17" s="3">
        <v>50</v>
      </c>
      <c r="Q17" s="5">
        <v>2.8930296500822776</v>
      </c>
      <c r="R17" s="4">
        <f>O17-471866</f>
        <v>1256426</v>
      </c>
      <c r="S17" s="3">
        <f>P17-30</f>
        <v>20</v>
      </c>
      <c r="T17" s="16">
        <f>(S17/R17)*100000</f>
        <v>1.591816788254939</v>
      </c>
      <c r="U17" s="4">
        <v>1738643</v>
      </c>
      <c r="V17" s="3">
        <v>62</v>
      </c>
      <c r="W17" s="5">
        <v>3.5659994604987912</v>
      </c>
      <c r="X17" s="4">
        <f>U17-476701</f>
        <v>1261942</v>
      </c>
      <c r="Y17" s="3">
        <f>V17-39</f>
        <v>23</v>
      </c>
      <c r="Z17" s="16">
        <f>(Y17/X17)*100000</f>
        <v>1.8225877259018242</v>
      </c>
      <c r="AA17" s="4">
        <v>1749370</v>
      </c>
      <c r="AB17" s="3">
        <v>39</v>
      </c>
      <c r="AC17" s="5">
        <v>2.2293740032125853</v>
      </c>
      <c r="AD17" s="4">
        <f>AA17-482075</f>
        <v>1267295</v>
      </c>
      <c r="AE17" s="3">
        <f>AB17-17</f>
        <v>22</v>
      </c>
      <c r="AF17" s="16">
        <f>(AE17/AD17)*100000</f>
        <v>1.7359809673359399</v>
      </c>
      <c r="AG17" s="4">
        <v>1761497</v>
      </c>
      <c r="AH17" s="3">
        <v>42</v>
      </c>
      <c r="AI17" s="5">
        <v>2.3843355963705872</v>
      </c>
      <c r="AJ17" s="4">
        <f>AG17-488114</f>
        <v>1273383</v>
      </c>
      <c r="AK17" s="3">
        <f>AH17-28</f>
        <v>14</v>
      </c>
      <c r="AL17" s="16">
        <f>(AK17/AJ17)*100000</f>
        <v>1.0994335561256905</v>
      </c>
      <c r="AM17" s="4">
        <v>1772693</v>
      </c>
      <c r="AN17" s="3">
        <v>55</v>
      </c>
      <c r="AO17" s="5">
        <v>3.1026240866297776</v>
      </c>
      <c r="AP17" s="4">
        <f>AM17-493757</f>
        <v>1278936</v>
      </c>
      <c r="AQ17" s="3">
        <f>AN17-32</f>
        <v>23</v>
      </c>
      <c r="AR17" s="16">
        <f>(AQ17/AP17)*100000</f>
        <v>1.7983698949751983</v>
      </c>
      <c r="AS17" s="4">
        <v>1783440</v>
      </c>
      <c r="AT17" s="3">
        <v>71</v>
      </c>
      <c r="AU17" s="5">
        <v>3.9810702911227738</v>
      </c>
      <c r="AV17" s="4">
        <f>AS17-498743</f>
        <v>1284697</v>
      </c>
      <c r="AW17" s="3">
        <f>AT17-40</f>
        <v>31</v>
      </c>
      <c r="AX17" s="16">
        <f>(AW17/AV17)*100000</f>
        <v>2.4130203464318822</v>
      </c>
      <c r="AY17" s="4">
        <v>1796378</v>
      </c>
      <c r="AZ17" s="3">
        <v>78</v>
      </c>
      <c r="BA17" s="5">
        <v>4.3420705441727749</v>
      </c>
      <c r="BB17" s="4">
        <f>AY17-504547</f>
        <v>1291831</v>
      </c>
      <c r="BC17" s="3">
        <f>AZ17-45</f>
        <v>33</v>
      </c>
      <c r="BD17" s="16">
        <f>(BC17/BB17)*100000</f>
        <v>2.5545137096106223</v>
      </c>
      <c r="BE17" s="4">
        <v>1812683</v>
      </c>
      <c r="BF17" s="3">
        <v>48</v>
      </c>
      <c r="BG17" s="5">
        <v>2.648008504520647</v>
      </c>
      <c r="BH17" s="4">
        <f>BE17-511902</f>
        <v>1300781</v>
      </c>
      <c r="BI17" s="3">
        <f>BF17-33</f>
        <v>15</v>
      </c>
      <c r="BJ17" s="16">
        <f>(BI17/BH17)*100000</f>
        <v>1.1531533747802283</v>
      </c>
      <c r="BK17" s="6">
        <v>1829591</v>
      </c>
      <c r="BL17" s="3">
        <v>60</v>
      </c>
      <c r="BM17" s="5">
        <v>3.2794214663277201</v>
      </c>
      <c r="BN17" s="4">
        <f>BK17-517110</f>
        <v>1312481</v>
      </c>
      <c r="BO17" s="3">
        <f>BL17-40</f>
        <v>20</v>
      </c>
      <c r="BP17" s="16">
        <f>(BO17/BN17)*100000</f>
        <v>1.5238315830857743</v>
      </c>
      <c r="BQ17" s="6">
        <v>1840914</v>
      </c>
      <c r="BR17" s="3">
        <v>66</v>
      </c>
      <c r="BS17" s="5">
        <v>3.5851756247168525</v>
      </c>
      <c r="BT17" s="4">
        <f>BQ17-524861</f>
        <v>1316053</v>
      </c>
      <c r="BU17" s="3">
        <f>BR17-37</f>
        <v>29</v>
      </c>
      <c r="BV17" s="16">
        <f>(BU17/BT17)*100000</f>
        <v>2.203558671269318</v>
      </c>
      <c r="BW17" s="6">
        <v>1853691</v>
      </c>
      <c r="BX17" s="3">
        <v>64</v>
      </c>
      <c r="BY17" s="5">
        <v>3.4525711135243147</v>
      </c>
      <c r="BZ17" s="4">
        <f>BW17-531265</f>
        <v>1322426</v>
      </c>
      <c r="CA17" s="3">
        <f>BX17-41</f>
        <v>23</v>
      </c>
      <c r="CB17" s="16">
        <f>(CA17/BZ17)*100000</f>
        <v>1.7392277526303928</v>
      </c>
      <c r="CC17" s="6">
        <v>1865813</v>
      </c>
      <c r="CD17" s="3">
        <v>74</v>
      </c>
      <c r="CE17" s="5">
        <v>3.9660994965733436</v>
      </c>
      <c r="CF17" s="4">
        <f>CC17-537256</f>
        <v>1328557</v>
      </c>
      <c r="CG17" s="3">
        <f>CD17-53</f>
        <v>21</v>
      </c>
      <c r="CH17" s="16">
        <f>(CG17/CF17)*100000</f>
        <v>1.580662327623128</v>
      </c>
      <c r="CI17" s="6">
        <v>1879955</v>
      </c>
      <c r="CJ17" s="3">
        <v>63</v>
      </c>
      <c r="CK17" s="5">
        <v>3.351144043341463</v>
      </c>
      <c r="CL17" s="4">
        <f>CI17-543244</f>
        <v>1336711</v>
      </c>
      <c r="CM17" s="3">
        <f>CJ17-36</f>
        <v>27</v>
      </c>
      <c r="CN17" s="16">
        <f>(CM17/CL17)*100000</f>
        <v>2.0198831310582466</v>
      </c>
      <c r="CO17" s="6">
        <v>1892059</v>
      </c>
      <c r="CP17" s="3">
        <v>75</v>
      </c>
      <c r="CQ17" s="5">
        <v>3.9639355855182106</v>
      </c>
      <c r="CR17" s="4">
        <f>CO17-550064</f>
        <v>1341995</v>
      </c>
      <c r="CS17" s="3">
        <f>CP17-53</f>
        <v>22</v>
      </c>
      <c r="CT17" s="16">
        <f>(CS17/CR17)*100000</f>
        <v>1.639350370157862</v>
      </c>
      <c r="CU17" s="6">
        <v>1906483</v>
      </c>
      <c r="CV17" s="3">
        <v>60</v>
      </c>
      <c r="CW17" s="5">
        <v>3.1471563082387828</v>
      </c>
      <c r="CX17" s="4">
        <f>CU17-554995</f>
        <v>1351488</v>
      </c>
      <c r="CY17" s="3">
        <f>CV17-29</f>
        <v>31</v>
      </c>
      <c r="CZ17" s="16">
        <f>(CY17/CX17)*100000</f>
        <v>2.2937680541743619</v>
      </c>
      <c r="DA17" s="6">
        <v>1916998</v>
      </c>
      <c r="DB17" s="3">
        <v>50</v>
      </c>
      <c r="DC17" s="5">
        <v>2.6082447660352281</v>
      </c>
      <c r="DD17" s="4">
        <f>DA17-561620</f>
        <v>1355378</v>
      </c>
      <c r="DE17" s="3">
        <f>DB17-29</f>
        <v>21</v>
      </c>
      <c r="DF17" s="16">
        <f>(DE17/DD17)*100000</f>
        <v>1.5493832716777165</v>
      </c>
      <c r="DG17" s="6">
        <v>1925512</v>
      </c>
      <c r="DH17" s="3">
        <v>35</v>
      </c>
      <c r="DI17" s="5">
        <v>1.8176983576316323</v>
      </c>
      <c r="DJ17" s="4">
        <f>DG17-566880</f>
        <v>1358632</v>
      </c>
      <c r="DK17" s="3">
        <f>DH17-21</f>
        <v>14</v>
      </c>
      <c r="DL17" s="16">
        <f>(DK17/DJ17)*100000</f>
        <v>1.030448274440761</v>
      </c>
      <c r="DM17" s="6">
        <v>1932571</v>
      </c>
      <c r="DN17" s="3">
        <v>58</v>
      </c>
      <c r="DO17" s="5">
        <v>3.0011833976604225</v>
      </c>
      <c r="DP17" s="4">
        <f>DM17-571327</f>
        <v>1361244</v>
      </c>
      <c r="DQ17" s="3">
        <f>DN17-24</f>
        <v>34</v>
      </c>
      <c r="DR17" s="16">
        <f>(DQ17/DP17)*100000</f>
        <v>2.4977153250996884</v>
      </c>
      <c r="DS17" s="6">
        <v>1961504</v>
      </c>
      <c r="DT17" s="3">
        <v>76</v>
      </c>
      <c r="DU17" s="5">
        <v>3.5686901479680899</v>
      </c>
      <c r="DV17" s="4">
        <f>DS17-574332</f>
        <v>1387172</v>
      </c>
      <c r="DW17" s="3">
        <f>DT17-45</f>
        <v>31</v>
      </c>
      <c r="DX17" s="16">
        <f>(DW17/DV17)*100000</f>
        <v>2.2347625240417193</v>
      </c>
    </row>
    <row r="18" spans="1:132" x14ac:dyDescent="0.3">
      <c r="A18" s="3" t="s">
        <v>138</v>
      </c>
      <c r="B18" s="3" t="s">
        <v>94</v>
      </c>
      <c r="C18" s="4">
        <v>8081614</v>
      </c>
      <c r="D18" s="3">
        <v>654</v>
      </c>
      <c r="E18" s="5">
        <v>8.0924429204364383</v>
      </c>
      <c r="F18" s="4">
        <f>C18-695454</f>
        <v>7386160</v>
      </c>
      <c r="G18" s="3">
        <f>D18-86</f>
        <v>568</v>
      </c>
      <c r="H18" s="16">
        <f>(G18/F18)*100000</f>
        <v>7.6900581628342737</v>
      </c>
      <c r="I18" s="4">
        <v>8210122</v>
      </c>
      <c r="J18" s="3">
        <v>596</v>
      </c>
      <c r="K18" s="5">
        <v>7.2593318345330307</v>
      </c>
      <c r="L18" s="4">
        <f>I18-720171</f>
        <v>7489951</v>
      </c>
      <c r="M18" s="3">
        <f>J18-65</f>
        <v>531</v>
      </c>
      <c r="N18" s="16">
        <f>(M18/L18)*100000</f>
        <v>7.0894989833711861</v>
      </c>
      <c r="O18" s="4">
        <v>8326201</v>
      </c>
      <c r="P18" s="3">
        <v>641</v>
      </c>
      <c r="Q18" s="5">
        <v>7.6985890684118727</v>
      </c>
      <c r="R18" s="4">
        <f>O18-736422</f>
        <v>7589779</v>
      </c>
      <c r="S18" s="3">
        <f>P18-70</f>
        <v>571</v>
      </c>
      <c r="T18" s="16">
        <f>(S18/R18)*100000</f>
        <v>7.5232757106629844</v>
      </c>
      <c r="U18" s="4">
        <v>8422501</v>
      </c>
      <c r="V18" s="3">
        <v>593</v>
      </c>
      <c r="W18" s="5">
        <v>7.0406640497875861</v>
      </c>
      <c r="X18" s="4">
        <f>U18-753991</f>
        <v>7668510</v>
      </c>
      <c r="Y18" s="3">
        <f>V18-71</f>
        <v>522</v>
      </c>
      <c r="Z18" s="16">
        <f>(Y18/X18)*100000</f>
        <v>6.8070589984234227</v>
      </c>
      <c r="AA18" s="4">
        <v>8553152</v>
      </c>
      <c r="AB18" s="3">
        <v>606</v>
      </c>
      <c r="AC18" s="5">
        <v>7.0851073382070142</v>
      </c>
      <c r="AD18" s="4">
        <f>AA18-772949</f>
        <v>7780203</v>
      </c>
      <c r="AE18" s="3">
        <f>AB18-73</f>
        <v>533</v>
      </c>
      <c r="AF18" s="16">
        <f>(AE18/AD18)*100000</f>
        <v>6.8507209901849606</v>
      </c>
      <c r="AG18" s="4">
        <v>8705407</v>
      </c>
      <c r="AH18" s="3">
        <v>660</v>
      </c>
      <c r="AI18" s="5">
        <v>7.5814950409555815</v>
      </c>
      <c r="AJ18" s="4">
        <f>AG18-798701</f>
        <v>7906706</v>
      </c>
      <c r="AK18" s="3">
        <f>AH18-88</f>
        <v>572</v>
      </c>
      <c r="AL18" s="16">
        <f>(AK18/AJ18)*100000</f>
        <v>7.2343653602397762</v>
      </c>
      <c r="AM18" s="4">
        <v>8917270</v>
      </c>
      <c r="AN18" s="3">
        <v>619</v>
      </c>
      <c r="AO18" s="5">
        <v>6.9415863823793611</v>
      </c>
      <c r="AP18" s="4">
        <f>AM18-831507</f>
        <v>8085763</v>
      </c>
      <c r="AQ18" s="3">
        <f>AN18-82</f>
        <v>537</v>
      </c>
      <c r="AR18" s="16">
        <f>(AQ18/AP18)*100000</f>
        <v>6.6413027440947747</v>
      </c>
      <c r="AS18" s="4">
        <v>9118037</v>
      </c>
      <c r="AT18" s="3">
        <v>668</v>
      </c>
      <c r="AU18" s="5">
        <v>7.3261382905114329</v>
      </c>
      <c r="AV18" s="4">
        <f>AS18-862177</f>
        <v>8255860</v>
      </c>
      <c r="AW18" s="3">
        <f>AT18-76</f>
        <v>592</v>
      </c>
      <c r="AX18" s="16">
        <f>(AW18/AV18)*100000</f>
        <v>7.1706642312248512</v>
      </c>
      <c r="AY18" s="4">
        <v>9309449</v>
      </c>
      <c r="AZ18" s="3">
        <v>664</v>
      </c>
      <c r="BA18" s="5">
        <v>7.1325381341043919</v>
      </c>
      <c r="BB18" s="4">
        <f>AY18-887991</f>
        <v>8421458</v>
      </c>
      <c r="BC18" s="3">
        <f>AZ18-82</f>
        <v>582</v>
      </c>
      <c r="BD18" s="16">
        <f>(BC18/BB18)*100000</f>
        <v>6.9109173257172323</v>
      </c>
      <c r="BE18" s="4">
        <v>9449566</v>
      </c>
      <c r="BF18" s="3">
        <v>556</v>
      </c>
      <c r="BG18" s="5">
        <v>5.8838681056886637</v>
      </c>
      <c r="BH18" s="4">
        <f>BE18-908704</f>
        <v>8540862</v>
      </c>
      <c r="BI18" s="3">
        <f>BF18-56</f>
        <v>500</v>
      </c>
      <c r="BJ18" s="16">
        <f>(BI18/BH18)*100000</f>
        <v>5.8542100317274768</v>
      </c>
      <c r="BK18" s="6">
        <v>9574586</v>
      </c>
      <c r="BL18" s="3">
        <v>533</v>
      </c>
      <c r="BM18" s="5">
        <v>5.5668203304038419</v>
      </c>
      <c r="BN18" s="4">
        <f>BK18-919628</f>
        <v>8654958</v>
      </c>
      <c r="BO18" s="3">
        <f>BL18-62</f>
        <v>471</v>
      </c>
      <c r="BP18" s="16">
        <f>(BO18/BN18)*100000</f>
        <v>5.4419674826844915</v>
      </c>
      <c r="BQ18" s="6">
        <v>9658913</v>
      </c>
      <c r="BR18" s="3">
        <v>532</v>
      </c>
      <c r="BS18" s="5">
        <v>5.5078661542970719</v>
      </c>
      <c r="BT18" s="4">
        <f>BQ18-944373</f>
        <v>8714540</v>
      </c>
      <c r="BU18" s="3">
        <f>BR18-60</f>
        <v>472</v>
      </c>
      <c r="BV18" s="16">
        <f>(BU18/BT18)*100000</f>
        <v>5.4162353950983064</v>
      </c>
      <c r="BW18" s="6">
        <v>9751810</v>
      </c>
      <c r="BX18" s="3">
        <v>564</v>
      </c>
      <c r="BY18" s="5">
        <v>5.783541721998275</v>
      </c>
      <c r="BZ18" s="4">
        <f>BW18-969031</f>
        <v>8782779</v>
      </c>
      <c r="CA18" s="3">
        <f>BX18-60</f>
        <v>504</v>
      </c>
      <c r="CB18" s="16">
        <f>(CA18/BZ18)*100000</f>
        <v>5.7385025855711502</v>
      </c>
      <c r="CC18" s="6">
        <v>9846717</v>
      </c>
      <c r="CD18" s="3">
        <v>557</v>
      </c>
      <c r="CE18" s="5">
        <v>5.6567077128346428</v>
      </c>
      <c r="CF18" s="4">
        <f>CC18-990977</f>
        <v>8855740</v>
      </c>
      <c r="CG18" s="3">
        <f>CD18-63</f>
        <v>494</v>
      </c>
      <c r="CH18" s="16">
        <f>(CG18/CF18)*100000</f>
        <v>5.5783028860377568</v>
      </c>
      <c r="CI18" s="6">
        <v>9937295</v>
      </c>
      <c r="CJ18" s="3">
        <v>551</v>
      </c>
      <c r="CK18" s="5">
        <v>5.5447684706954963</v>
      </c>
      <c r="CL18" s="4">
        <f>CI18-1012539</f>
        <v>8924756</v>
      </c>
      <c r="CM18" s="3">
        <f>CJ18-52</f>
        <v>499</v>
      </c>
      <c r="CN18" s="16">
        <f>(CM18/CL18)*100000</f>
        <v>5.5911892717291094</v>
      </c>
      <c r="CO18" s="6">
        <v>10037218</v>
      </c>
      <c r="CP18" s="3">
        <v>593</v>
      </c>
      <c r="CQ18" s="5">
        <v>5.9080115625664398</v>
      </c>
      <c r="CR18" s="4">
        <f>CO18-1034070</f>
        <v>9003148</v>
      </c>
      <c r="CS18" s="3">
        <f>CP18-65</f>
        <v>528</v>
      </c>
      <c r="CT18" s="16">
        <f>(CS18/CR18)*100000</f>
        <v>5.864615354540434</v>
      </c>
      <c r="CU18" s="6">
        <v>10161802</v>
      </c>
      <c r="CV18" s="3">
        <v>735</v>
      </c>
      <c r="CW18" s="5">
        <v>7.232969113155324</v>
      </c>
      <c r="CX18" s="4">
        <f>CU18-1054835</f>
        <v>9106967</v>
      </c>
      <c r="CY18" s="3">
        <f>CV18-84</f>
        <v>651</v>
      </c>
      <c r="CZ18" s="16">
        <f>(CY18/CX18)*100000</f>
        <v>7.1483733278049657</v>
      </c>
      <c r="DA18" s="6">
        <v>10275758</v>
      </c>
      <c r="DB18" s="3">
        <v>679</v>
      </c>
      <c r="DC18" s="5">
        <v>6.6077850412592438</v>
      </c>
      <c r="DD18" s="4">
        <f>DA18-1076837</f>
        <v>9198921</v>
      </c>
      <c r="DE18" s="3">
        <f>DB18-92</f>
        <v>587</v>
      </c>
      <c r="DF18" s="16">
        <f>(DE18/DD18)*100000</f>
        <v>6.3811831844191298</v>
      </c>
      <c r="DG18" s="6">
        <v>10391358</v>
      </c>
      <c r="DH18" s="3">
        <v>647</v>
      </c>
      <c r="DI18" s="5">
        <v>6.2263276849859279</v>
      </c>
      <c r="DJ18" s="4">
        <f>DG18-1093901</f>
        <v>9297457</v>
      </c>
      <c r="DK18" s="3">
        <f>DH18-76</f>
        <v>571</v>
      </c>
      <c r="DL18" s="16">
        <f>(DK18/DJ18)*100000</f>
        <v>6.1414642735104881</v>
      </c>
      <c r="DM18" s="6">
        <v>10501384</v>
      </c>
      <c r="DN18" s="3">
        <v>707</v>
      </c>
      <c r="DO18" s="5">
        <v>6.7324459328408528</v>
      </c>
      <c r="DP18" s="4">
        <f>DM18-1110356</f>
        <v>9391028</v>
      </c>
      <c r="DQ18" s="3">
        <f>DN18-101</f>
        <v>606</v>
      </c>
      <c r="DR18" s="16">
        <f>(DQ18/DP18)*100000</f>
        <v>6.4529676623262118</v>
      </c>
      <c r="DS18" s="6">
        <v>10490000</v>
      </c>
      <c r="DT18" s="3">
        <v>878</v>
      </c>
      <c r="DU18" s="5">
        <v>7.6549094375595796</v>
      </c>
      <c r="DV18" s="4">
        <f>DS18-1128945</f>
        <v>9361055</v>
      </c>
      <c r="DW18" s="3">
        <f>DT18-126</f>
        <v>752</v>
      </c>
      <c r="DX18" s="16">
        <f>(DW18/DV18)*100000</f>
        <v>8.0332825733851578</v>
      </c>
    </row>
    <row r="19" spans="1:132" x14ac:dyDescent="0.3">
      <c r="A19" s="3" t="s">
        <v>109</v>
      </c>
      <c r="B19" s="3" t="s">
        <v>94</v>
      </c>
      <c r="F19" s="4">
        <v>642023</v>
      </c>
      <c r="G19" s="3">
        <v>12</v>
      </c>
      <c r="H19" s="16">
        <v>1.8690919172677614</v>
      </c>
      <c r="L19" s="4">
        <v>639062</v>
      </c>
      <c r="M19" s="3">
        <v>7</v>
      </c>
      <c r="N19" s="16">
        <f>(M19/L19)*100000</f>
        <v>1.0953553802291485</v>
      </c>
      <c r="R19" s="4">
        <v>638168</v>
      </c>
      <c r="S19" s="3">
        <v>5</v>
      </c>
      <c r="T19" s="16">
        <f>(S19/R19)*100000</f>
        <v>0.78349274799112456</v>
      </c>
      <c r="X19" s="4">
        <v>638817</v>
      </c>
      <c r="Y19" s="3">
        <v>12</v>
      </c>
      <c r="Z19" s="16">
        <v>1.8784722385284049</v>
      </c>
      <c r="AD19" s="4">
        <v>644705</v>
      </c>
      <c r="AE19" s="3">
        <v>10</v>
      </c>
      <c r="AF19" s="16">
        <v>1.5510970133627009</v>
      </c>
      <c r="AJ19" s="4">
        <v>646089</v>
      </c>
      <c r="AK19" s="3">
        <v>11</v>
      </c>
      <c r="AL19" s="16">
        <v>1.7025518156167341</v>
      </c>
      <c r="AP19" s="4">
        <v>649422</v>
      </c>
      <c r="AQ19" s="3">
        <v>11</v>
      </c>
      <c r="AR19" s="16">
        <v>1.6938138837304557</v>
      </c>
      <c r="AV19" s="4">
        <v>652822</v>
      </c>
      <c r="AW19" s="3">
        <v>14</v>
      </c>
      <c r="AX19" s="16">
        <v>2.1445355701860538</v>
      </c>
      <c r="BB19" s="4">
        <v>657569</v>
      </c>
      <c r="BC19" s="3">
        <v>3</v>
      </c>
      <c r="BD19" s="16">
        <f>(BC19/BB19)*100000</f>
        <v>0.45622588656095409</v>
      </c>
      <c r="BH19" s="4">
        <v>664968</v>
      </c>
      <c r="BI19" s="3">
        <v>14</v>
      </c>
      <c r="BJ19" s="16">
        <v>2.1053644686661612</v>
      </c>
      <c r="BN19" s="6">
        <v>674752</v>
      </c>
      <c r="BO19" s="3">
        <v>14</v>
      </c>
      <c r="BP19" s="16">
        <v>2.0748363843308355</v>
      </c>
      <c r="BT19" s="6">
        <v>685526</v>
      </c>
      <c r="BU19" s="3">
        <v>17</v>
      </c>
      <c r="BV19" s="16">
        <v>2.4798475914844951</v>
      </c>
      <c r="BZ19" s="6">
        <v>702227</v>
      </c>
      <c r="CA19" s="3">
        <v>16</v>
      </c>
      <c r="CB19" s="16">
        <v>2.2784655104403564</v>
      </c>
      <c r="CF19" s="6">
        <v>723149</v>
      </c>
      <c r="CG19" s="3">
        <v>13</v>
      </c>
      <c r="CH19" s="16">
        <v>1.7976931448429023</v>
      </c>
      <c r="CL19" s="6">
        <v>738736</v>
      </c>
      <c r="CM19" s="3">
        <v>15</v>
      </c>
      <c r="CN19" s="16">
        <v>2.0304953325680621</v>
      </c>
      <c r="CR19" s="6">
        <v>755537</v>
      </c>
      <c r="CS19" s="3">
        <v>22</v>
      </c>
      <c r="CT19" s="16">
        <v>2.9118362171541565</v>
      </c>
      <c r="CX19" s="6">
        <v>756114</v>
      </c>
      <c r="CY19" s="3">
        <v>17</v>
      </c>
      <c r="CZ19" s="16">
        <v>2.2483382135498085</v>
      </c>
      <c r="DD19" s="6">
        <v>756755</v>
      </c>
      <c r="DE19" s="3">
        <v>15</v>
      </c>
      <c r="DF19" s="16">
        <v>1.9821474585566001</v>
      </c>
      <c r="DJ19" s="6">
        <v>760062</v>
      </c>
      <c r="DK19" s="3">
        <v>20</v>
      </c>
      <c r="DL19" s="16">
        <v>2.631364283440035</v>
      </c>
      <c r="DP19" s="6">
        <v>763724</v>
      </c>
      <c r="DQ19" s="3">
        <v>21</v>
      </c>
      <c r="DR19" s="16">
        <v>2.7496844409760595</v>
      </c>
      <c r="DV19" s="6">
        <v>779094</v>
      </c>
      <c r="DW19" s="3">
        <v>30</v>
      </c>
      <c r="DX19" s="16">
        <v>4.1073349300597881</v>
      </c>
    </row>
    <row r="20" spans="1:132" x14ac:dyDescent="0.3">
      <c r="A20" s="3" t="s">
        <v>139</v>
      </c>
      <c r="B20" s="3" t="s">
        <v>94</v>
      </c>
      <c r="C20" s="4">
        <v>11363543</v>
      </c>
      <c r="D20" s="3">
        <v>457</v>
      </c>
      <c r="E20" s="5">
        <v>4.0216330417370703</v>
      </c>
      <c r="F20" s="4">
        <f>C20-1068978</f>
        <v>10294565</v>
      </c>
      <c r="G20" s="3">
        <f>D20-58</f>
        <v>399</v>
      </c>
      <c r="H20" s="16">
        <f>(G20/F20)*100000</f>
        <v>3.8758315674338837</v>
      </c>
      <c r="I20" s="4">
        <v>11387404</v>
      </c>
      <c r="J20" s="3">
        <v>510</v>
      </c>
      <c r="K20" s="5">
        <v>4.4786327068048166</v>
      </c>
      <c r="L20" s="4">
        <f>I20-1082938</f>
        <v>10304466</v>
      </c>
      <c r="M20" s="3">
        <f>J20-83</f>
        <v>427</v>
      </c>
      <c r="N20" s="16">
        <f>(M20/L20)*100000</f>
        <v>4.143834333579246</v>
      </c>
      <c r="O20" s="4">
        <v>11407889</v>
      </c>
      <c r="P20" s="3">
        <v>546</v>
      </c>
      <c r="Q20" s="5">
        <v>4.7861615764318879</v>
      </c>
      <c r="R20" s="4">
        <f>O20-1088693</f>
        <v>10319196</v>
      </c>
      <c r="S20" s="3">
        <f>P20-80</f>
        <v>466</v>
      </c>
      <c r="T20" s="16">
        <f>(S20/R20)*100000</f>
        <v>4.5158556926334184</v>
      </c>
      <c r="U20" s="4">
        <v>11434788</v>
      </c>
      <c r="V20" s="3">
        <v>515</v>
      </c>
      <c r="W20" s="5">
        <v>4.5038001579041085</v>
      </c>
      <c r="X20" s="4">
        <f>U20-1095250</f>
        <v>10339538</v>
      </c>
      <c r="Y20" s="3">
        <f>V20-102</f>
        <v>413</v>
      </c>
      <c r="Z20" s="16">
        <f>(Y20/X20)*100000</f>
        <v>3.9943757641782449</v>
      </c>
      <c r="AA20" s="4">
        <v>11452251</v>
      </c>
      <c r="AB20" s="3">
        <v>550</v>
      </c>
      <c r="AC20" s="5">
        <v>4.8025492979502458</v>
      </c>
      <c r="AD20" s="4">
        <f>AA20-1099603</f>
        <v>10352648</v>
      </c>
      <c r="AE20" s="3">
        <f>AB20-103</f>
        <v>447</v>
      </c>
      <c r="AF20" s="16">
        <f>(AE20/AD20)*100000</f>
        <v>4.3177359067940877</v>
      </c>
      <c r="AG20" s="4">
        <v>11463320</v>
      </c>
      <c r="AH20" s="3">
        <v>618</v>
      </c>
      <c r="AI20" s="5">
        <v>5.3911083351071065</v>
      </c>
      <c r="AJ20" s="4">
        <f>AG20-1105497</f>
        <v>10357823</v>
      </c>
      <c r="AK20" s="3">
        <f>AH20-111</f>
        <v>507</v>
      </c>
      <c r="AL20" s="16">
        <f>(AK20/AJ20)*100000</f>
        <v>4.8948509739932806</v>
      </c>
      <c r="AM20" s="4">
        <v>11481213</v>
      </c>
      <c r="AN20" s="3">
        <v>654</v>
      </c>
      <c r="AO20" s="5">
        <v>5.6962622329191168</v>
      </c>
      <c r="AP20" s="4">
        <f>AM20-1115924</f>
        <v>10365289</v>
      </c>
      <c r="AQ20" s="3">
        <f>AN20-109</f>
        <v>545</v>
      </c>
      <c r="AR20" s="16">
        <f>(AQ20/AP20)*100000</f>
        <v>5.2579334739243642</v>
      </c>
      <c r="AS20" s="4">
        <v>11500468</v>
      </c>
      <c r="AT20" s="3">
        <v>628</v>
      </c>
      <c r="AU20" s="5">
        <v>5.4606473406125735</v>
      </c>
      <c r="AV20" s="4">
        <f>AS20-1127174</f>
        <v>10373294</v>
      </c>
      <c r="AW20" s="3">
        <f>AT20-84</f>
        <v>544</v>
      </c>
      <c r="AX20" s="16">
        <f>(AW20/AV20)*100000</f>
        <v>5.2442358232592268</v>
      </c>
      <c r="AY20" s="4">
        <v>11515391</v>
      </c>
      <c r="AZ20" s="3">
        <v>593</v>
      </c>
      <c r="BA20" s="5">
        <v>5.1496297433582585</v>
      </c>
      <c r="BB20" s="4">
        <f>AY20-1141183</f>
        <v>10374208</v>
      </c>
      <c r="BC20" s="3">
        <f>AZ20-110</f>
        <v>483</v>
      </c>
      <c r="BD20" s="16">
        <f>(BC20/BB20)*100000</f>
        <v>4.6557770964299152</v>
      </c>
      <c r="BE20" s="4">
        <v>11528896</v>
      </c>
      <c r="BF20" s="3">
        <v>533</v>
      </c>
      <c r="BG20" s="5">
        <v>4.6231659995892063</v>
      </c>
      <c r="BH20" s="4">
        <f>BE20-1155408</f>
        <v>10373488</v>
      </c>
      <c r="BI20" s="3">
        <f>BF20-87</f>
        <v>446</v>
      </c>
      <c r="BJ20" s="16">
        <f>(BI20/BH20)*100000</f>
        <v>4.2994217566936017</v>
      </c>
      <c r="BK20" s="6">
        <v>11539449</v>
      </c>
      <c r="BL20" s="3">
        <v>558</v>
      </c>
      <c r="BM20" s="5">
        <v>4.8355861705355254</v>
      </c>
      <c r="BN20" s="4">
        <f>BK20-1163414</f>
        <v>10376035</v>
      </c>
      <c r="BO20" s="3">
        <f>BL20-115</f>
        <v>443</v>
      </c>
      <c r="BP20" s="16">
        <f>(BO20/BN20)*100000</f>
        <v>4.2694536014961404</v>
      </c>
      <c r="BQ20" s="6">
        <v>11545735</v>
      </c>
      <c r="BR20" s="3">
        <v>603</v>
      </c>
      <c r="BS20" s="5">
        <v>5.2227077791063108</v>
      </c>
      <c r="BT20" s="4">
        <f>BQ20-1178799</f>
        <v>10366936</v>
      </c>
      <c r="BU20" s="3">
        <f>BR20-106</f>
        <v>497</v>
      </c>
      <c r="BV20" s="16">
        <f>(BU20/BT20)*100000</f>
        <v>4.794087664860669</v>
      </c>
      <c r="BW20" s="6">
        <v>11550971</v>
      </c>
      <c r="BX20" s="3">
        <v>619</v>
      </c>
      <c r="BY20" s="5">
        <v>5.358856844156219</v>
      </c>
      <c r="BZ20" s="4">
        <f>BW20-1195537</f>
        <v>10355434</v>
      </c>
      <c r="CA20" s="3">
        <f>BX20-99</f>
        <v>520</v>
      </c>
      <c r="CB20" s="16">
        <f>(CA20/BZ20)*100000</f>
        <v>5.0215181710394754</v>
      </c>
      <c r="CC20" s="6">
        <v>11579692</v>
      </c>
      <c r="CD20" s="3">
        <v>632</v>
      </c>
      <c r="CE20" s="5">
        <v>5.4578308300428029</v>
      </c>
      <c r="CF20" s="4">
        <f>CC20-1212263</f>
        <v>10367429</v>
      </c>
      <c r="CG20" s="3">
        <f>CD20-102</f>
        <v>530</v>
      </c>
      <c r="CH20" s="16">
        <f>(CG20/CF20)*100000</f>
        <v>5.1121642598179351</v>
      </c>
      <c r="CI20" s="6">
        <v>11606573</v>
      </c>
      <c r="CJ20" s="3">
        <v>578</v>
      </c>
      <c r="CK20" s="5">
        <v>4.979936799604844</v>
      </c>
      <c r="CL20" s="4">
        <f>CI20-1231393</f>
        <v>10375180</v>
      </c>
      <c r="CM20" s="3">
        <f>CJ20-97</f>
        <v>481</v>
      </c>
      <c r="CN20" s="16">
        <f>(CM20/CL20)*100000</f>
        <v>4.6360641453931404</v>
      </c>
      <c r="CO20" s="6">
        <v>11622315</v>
      </c>
      <c r="CP20" s="3">
        <v>669</v>
      </c>
      <c r="CQ20" s="5">
        <v>5.7561681988485081</v>
      </c>
      <c r="CR20" s="4">
        <f>CO20-1251722</f>
        <v>10370593</v>
      </c>
      <c r="CS20" s="3">
        <f>CP20-113</f>
        <v>556</v>
      </c>
      <c r="CT20" s="16">
        <f>(CS20/CR20)*100000</f>
        <v>5.3613134755167806</v>
      </c>
      <c r="CU20" s="6">
        <v>11640060</v>
      </c>
      <c r="CV20" s="3">
        <v>721</v>
      </c>
      <c r="CW20" s="5">
        <v>6.19412614711608</v>
      </c>
      <c r="CX20" s="4">
        <f>CU20-1264518</f>
        <v>10375542</v>
      </c>
      <c r="CY20" s="3">
        <f>CV20-109</f>
        <v>612</v>
      </c>
      <c r="CZ20" s="16">
        <f>(CY20/CX20)*100000</f>
        <v>5.8984870380747338</v>
      </c>
      <c r="DA20" s="6">
        <v>11665706</v>
      </c>
      <c r="DB20" s="3">
        <v>828</v>
      </c>
      <c r="DC20" s="5">
        <v>7.0977273042883127</v>
      </c>
      <c r="DD20" s="4">
        <f>DA20-1291981</f>
        <v>10373725</v>
      </c>
      <c r="DE20" s="3">
        <f>DB20-147</f>
        <v>681</v>
      </c>
      <c r="DF20" s="16">
        <f>(DE20/DD20)*100000</f>
        <v>6.5646621633019961</v>
      </c>
      <c r="DG20" s="6">
        <v>11680892</v>
      </c>
      <c r="DH20" s="3">
        <v>760</v>
      </c>
      <c r="DI20" s="5">
        <v>6.5063524258250141</v>
      </c>
      <c r="DJ20" s="4">
        <f>DG20-1310300</f>
        <v>10370592</v>
      </c>
      <c r="DK20" s="3">
        <f>DH20-129</f>
        <v>631</v>
      </c>
      <c r="DL20" s="16">
        <f>(DK20/DJ20)*100000</f>
        <v>6.0845128224116811</v>
      </c>
      <c r="DM20" s="6">
        <v>11696507</v>
      </c>
      <c r="DN20" s="3">
        <v>724</v>
      </c>
      <c r="DO20" s="5">
        <v>6.1898821588359665</v>
      </c>
      <c r="DP20" s="4">
        <f>DM20-1316756</f>
        <v>10379751</v>
      </c>
      <c r="DQ20" s="3">
        <f>DN20-114</f>
        <v>610</v>
      </c>
      <c r="DR20" s="16">
        <f>(DQ20/DP20)*100000</f>
        <v>5.8768269103950566</v>
      </c>
      <c r="DS20" s="6">
        <v>11690000</v>
      </c>
      <c r="DT20" s="3">
        <v>994</v>
      </c>
      <c r="DU20" s="5">
        <v>6.9974337040205308</v>
      </c>
      <c r="DV20" s="4">
        <f>DS20-1324624</f>
        <v>10365376</v>
      </c>
      <c r="DW20" s="3">
        <f>DT20-184</f>
        <v>810</v>
      </c>
      <c r="DX20" s="16">
        <f>(DW20/DV20)*100000</f>
        <v>7.8144777381929993</v>
      </c>
    </row>
    <row r="21" spans="1:132" x14ac:dyDescent="0.3">
      <c r="A21" s="2" t="s">
        <v>140</v>
      </c>
      <c r="B21" s="3" t="s">
        <v>94</v>
      </c>
      <c r="C21" s="4">
        <v>3454365</v>
      </c>
      <c r="D21" s="3">
        <v>197</v>
      </c>
      <c r="E21" s="5">
        <v>5.7029294819742562</v>
      </c>
      <c r="F21" s="4">
        <f>C21-660448</f>
        <v>2793917</v>
      </c>
      <c r="G21" s="3">
        <f>D21-53</f>
        <v>144</v>
      </c>
      <c r="H21" s="16">
        <f>(G21/F21)*100000</f>
        <v>5.1540543258801179</v>
      </c>
      <c r="I21" s="4">
        <v>3467100</v>
      </c>
      <c r="J21" s="3">
        <v>207</v>
      </c>
      <c r="K21" s="5">
        <v>5.9704075452106951</v>
      </c>
      <c r="L21" s="4">
        <f>I21-664836</f>
        <v>2802264</v>
      </c>
      <c r="M21" s="3">
        <f>J21-54</f>
        <v>153</v>
      </c>
      <c r="N21" s="16">
        <f>(M21/L21)*100000</f>
        <v>5.4598710185764077</v>
      </c>
      <c r="O21" s="4">
        <v>3489080</v>
      </c>
      <c r="P21" s="3">
        <v>196</v>
      </c>
      <c r="Q21" s="5">
        <v>5.6175266832517456</v>
      </c>
      <c r="R21" s="4">
        <f>O21-671120</f>
        <v>2817960</v>
      </c>
      <c r="S21" s="3">
        <f>P21-48</f>
        <v>148</v>
      </c>
      <c r="T21" s="16">
        <f>(S21/R21)*100000</f>
        <v>5.2520262885207742</v>
      </c>
      <c r="U21" s="4">
        <v>3504892</v>
      </c>
      <c r="V21" s="3">
        <v>221</v>
      </c>
      <c r="W21" s="5">
        <v>6.305472465342727</v>
      </c>
      <c r="X21" s="4">
        <f>U21-674571</f>
        <v>2830321</v>
      </c>
      <c r="Y21" s="3">
        <f>V21-55</f>
        <v>166</v>
      </c>
      <c r="Z21" s="16">
        <f>(Y21/X21)*100000</f>
        <v>5.8650591222691704</v>
      </c>
      <c r="AA21" s="4">
        <v>3525233</v>
      </c>
      <c r="AB21" s="3">
        <v>221</v>
      </c>
      <c r="AC21" s="5">
        <v>6.2690891637517288</v>
      </c>
      <c r="AD21" s="4">
        <f>AA21-677742</f>
        <v>2847491</v>
      </c>
      <c r="AE21" s="3">
        <f>AB21-59</f>
        <v>162</v>
      </c>
      <c r="AF21" s="16">
        <f>(AE21/AD21)*100000</f>
        <v>5.6892190352840446</v>
      </c>
      <c r="AG21" s="4">
        <v>3548597</v>
      </c>
      <c r="AH21" s="3">
        <v>209</v>
      </c>
      <c r="AI21" s="5">
        <v>5.8896516003366965</v>
      </c>
      <c r="AJ21" s="4">
        <f>AG21-683299</f>
        <v>2865298</v>
      </c>
      <c r="AK21" s="3">
        <f>AH21-59</f>
        <v>150</v>
      </c>
      <c r="AL21" s="16">
        <f>(AK21/AJ21)*100000</f>
        <v>5.2350575751632116</v>
      </c>
      <c r="AM21" s="4">
        <v>3594090</v>
      </c>
      <c r="AN21" s="3">
        <v>220</v>
      </c>
      <c r="AO21" s="5">
        <v>6.1211600154698402</v>
      </c>
      <c r="AP21" s="4">
        <f>AM21-690153</f>
        <v>2903937</v>
      </c>
      <c r="AQ21" s="3">
        <f>AN21-60</f>
        <v>160</v>
      </c>
      <c r="AR21" s="16">
        <f>(AQ21/AP21)*100000</f>
        <v>5.5097614032260349</v>
      </c>
      <c r="AS21" s="4">
        <v>3634349</v>
      </c>
      <c r="AT21" s="3">
        <v>247</v>
      </c>
      <c r="AU21" s="5">
        <v>6.7962653008833218</v>
      </c>
      <c r="AV21" s="4">
        <f>AS21-695706</f>
        <v>2938643</v>
      </c>
      <c r="AW21" s="3">
        <f>AT21-69</f>
        <v>178</v>
      </c>
      <c r="AX21" s="16">
        <f>(AW21/AV21)*100000</f>
        <v>6.0572175660670586</v>
      </c>
      <c r="AY21" s="4">
        <v>3668976</v>
      </c>
      <c r="AZ21" s="3">
        <v>228</v>
      </c>
      <c r="BA21" s="5">
        <v>6.2142679592344017</v>
      </c>
      <c r="BB21" s="4">
        <f>AY21-701484</f>
        <v>2967492</v>
      </c>
      <c r="BC21" s="3">
        <f>AZ21-66</f>
        <v>162</v>
      </c>
      <c r="BD21" s="16">
        <f>(BC21/BB21)*100000</f>
        <v>5.4591554080010996</v>
      </c>
      <c r="BE21" s="4">
        <v>3717572</v>
      </c>
      <c r="BF21" s="3">
        <v>242</v>
      </c>
      <c r="BG21" s="5">
        <v>6.5096250993928297</v>
      </c>
      <c r="BH21" s="4">
        <f>BE21-711595</f>
        <v>3005977</v>
      </c>
      <c r="BI21" s="3">
        <f>BF21-66</f>
        <v>176</v>
      </c>
      <c r="BJ21" s="16">
        <f>(BI21/BH21)*100000</f>
        <v>5.8550015519080816</v>
      </c>
      <c r="BK21" s="6">
        <v>3760014</v>
      </c>
      <c r="BL21" s="3">
        <v>209</v>
      </c>
      <c r="BM21" s="5">
        <v>5.5584899417927698</v>
      </c>
      <c r="BN21" s="4">
        <f>BK21-718633</f>
        <v>3041381</v>
      </c>
      <c r="BO21" s="3">
        <f>BL21-58</f>
        <v>151</v>
      </c>
      <c r="BP21" s="16">
        <f>(BO21/BN21)*100000</f>
        <v>4.9648498494598341</v>
      </c>
      <c r="BQ21" s="6">
        <v>3788824</v>
      </c>
      <c r="BR21" s="3">
        <v>258</v>
      </c>
      <c r="BS21" s="5">
        <v>6.8095007844122613</v>
      </c>
      <c r="BT21" s="4">
        <f>BQ21-732371</f>
        <v>3056453</v>
      </c>
      <c r="BU21" s="3">
        <f>BR21-67</f>
        <v>191</v>
      </c>
      <c r="BV21" s="16">
        <f>(BU21/BT21)*100000</f>
        <v>6.2490736811591736</v>
      </c>
      <c r="BW21" s="6">
        <v>3819320</v>
      </c>
      <c r="BX21" s="3">
        <v>268</v>
      </c>
      <c r="BY21" s="5">
        <v>7.0169558979085283</v>
      </c>
      <c r="BZ21" s="4">
        <f>BW21-741781</f>
        <v>3077539</v>
      </c>
      <c r="CA21" s="3">
        <f>BX21-102</f>
        <v>166</v>
      </c>
      <c r="CB21" s="16">
        <f>(CA21/BZ21)*100000</f>
        <v>5.3939202720095505</v>
      </c>
      <c r="CC21" s="6">
        <v>3853891</v>
      </c>
      <c r="CD21" s="3">
        <v>256</v>
      </c>
      <c r="CE21" s="5">
        <v>6.6426372723047962</v>
      </c>
      <c r="CF21" s="4">
        <f>CC21-755245</f>
        <v>3098646</v>
      </c>
      <c r="CG21" s="3">
        <f>CD21-73</f>
        <v>183</v>
      </c>
      <c r="CH21" s="16">
        <f>(CG21/CF21)*100000</f>
        <v>5.9058053098030561</v>
      </c>
      <c r="CI21" s="6">
        <v>3879187</v>
      </c>
      <c r="CJ21" s="3">
        <v>250</v>
      </c>
      <c r="CK21" s="5">
        <v>6.4446493556510687</v>
      </c>
      <c r="CL21" s="4">
        <f>CI21-766215</f>
        <v>3112972</v>
      </c>
      <c r="CM21" s="3">
        <f>CJ21-62</f>
        <v>188</v>
      </c>
      <c r="CN21" s="16">
        <f>(CM21/CL21)*100000</f>
        <v>6.0392448117104811</v>
      </c>
      <c r="CO21" s="6">
        <v>3910518</v>
      </c>
      <c r="CP21" s="3">
        <v>324</v>
      </c>
      <c r="CQ21" s="5">
        <v>8.2853473631882029</v>
      </c>
      <c r="CR21" s="4">
        <f>CO21-776864</f>
        <v>3133654</v>
      </c>
      <c r="CS21" s="3">
        <f>CP21-96</f>
        <v>228</v>
      </c>
      <c r="CT21" s="16">
        <f>(CS21/CR21)*100000</f>
        <v>7.2758511309799996</v>
      </c>
      <c r="CU21" s="6">
        <v>3928143</v>
      </c>
      <c r="CV21" s="3">
        <v>322</v>
      </c>
      <c r="CW21" s="5">
        <v>8.197257584563495</v>
      </c>
      <c r="CX21" s="4">
        <f>CU21-782970</f>
        <v>3145173</v>
      </c>
      <c r="CY21" s="3">
        <f>CV21-92</f>
        <v>230</v>
      </c>
      <c r="CZ21" s="16">
        <f>(CY21/CX21)*100000</f>
        <v>7.3127932867285841</v>
      </c>
      <c r="DA21" s="6">
        <v>3933602</v>
      </c>
      <c r="DB21" s="3">
        <v>318</v>
      </c>
      <c r="DC21" s="5">
        <v>8.0841935711848834</v>
      </c>
      <c r="DD21" s="4">
        <f>DA21-787958</f>
        <v>3145644</v>
      </c>
      <c r="DE21" s="3">
        <f>DB21-89</f>
        <v>229</v>
      </c>
      <c r="DF21" s="16">
        <f>(DE21/DD21)*100000</f>
        <v>7.2799083430928606</v>
      </c>
      <c r="DG21" s="6">
        <v>3943488</v>
      </c>
      <c r="DH21" s="3">
        <v>265</v>
      </c>
      <c r="DI21" s="5">
        <v>6.7199393024652281</v>
      </c>
      <c r="DJ21" s="4">
        <f>DG21-792582</f>
        <v>3150906</v>
      </c>
      <c r="DK21" s="3">
        <f>DH21-65</f>
        <v>200</v>
      </c>
      <c r="DL21" s="16">
        <f>(DK21/DJ21)*100000</f>
        <v>6.3473807216083253</v>
      </c>
      <c r="DM21" s="6">
        <v>3960676</v>
      </c>
      <c r="DN21" s="3">
        <v>333</v>
      </c>
      <c r="DO21" s="5">
        <v>8.4076556628211954</v>
      </c>
      <c r="DP21" s="4">
        <f>DM21-797434</f>
        <v>3163242</v>
      </c>
      <c r="DQ21" s="3">
        <f>DN21-99</f>
        <v>234</v>
      </c>
      <c r="DR21" s="16">
        <f>(DQ21/DP21)*100000</f>
        <v>7.397473857517066</v>
      </c>
      <c r="DS21" s="6">
        <v>3957000</v>
      </c>
      <c r="DT21" s="3">
        <v>340</v>
      </c>
      <c r="DU21" s="5">
        <v>7.2529694212787472</v>
      </c>
      <c r="DV21" s="4">
        <f>DS21-804041</f>
        <v>3152959</v>
      </c>
      <c r="DW21" s="3">
        <f>DT21-91</f>
        <v>249</v>
      </c>
      <c r="DX21" s="16">
        <f>(DW21/DV21)*100000</f>
        <v>7.8973434161370326</v>
      </c>
    </row>
    <row r="22" spans="1:132" x14ac:dyDescent="0.3">
      <c r="A22" s="3" t="s">
        <v>113</v>
      </c>
      <c r="B22" s="3" t="s">
        <v>94</v>
      </c>
      <c r="F22" s="4">
        <v>755844</v>
      </c>
      <c r="G22" s="3">
        <v>14</v>
      </c>
      <c r="H22" s="16">
        <v>1.8522340588798747</v>
      </c>
      <c r="L22" s="4">
        <v>757972</v>
      </c>
      <c r="M22" s="3">
        <v>18</v>
      </c>
      <c r="N22" s="16">
        <v>2.3747579066245192</v>
      </c>
      <c r="R22" s="4">
        <v>760020</v>
      </c>
      <c r="S22" s="3">
        <v>20</v>
      </c>
      <c r="T22" s="16">
        <v>2.6315096971132337</v>
      </c>
      <c r="X22" s="4">
        <v>763729</v>
      </c>
      <c r="Y22" s="3">
        <v>16</v>
      </c>
      <c r="Z22" s="16">
        <v>2.0949839537322794</v>
      </c>
      <c r="AD22" s="4">
        <v>770396</v>
      </c>
      <c r="AE22" s="3">
        <v>24</v>
      </c>
      <c r="AF22" s="16">
        <v>3.1152809723830339</v>
      </c>
      <c r="AJ22" s="4">
        <v>775493</v>
      </c>
      <c r="AK22" s="3">
        <v>21</v>
      </c>
      <c r="AL22" s="16">
        <v>2.7079548106817213</v>
      </c>
      <c r="AP22" s="4">
        <v>783033</v>
      </c>
      <c r="AQ22" s="3">
        <v>21</v>
      </c>
      <c r="AR22" s="16">
        <v>2.681879307768638</v>
      </c>
      <c r="AV22" s="4">
        <v>791623</v>
      </c>
      <c r="AW22" s="3">
        <v>15</v>
      </c>
      <c r="AX22" s="16">
        <v>1.8948413575654068</v>
      </c>
      <c r="BB22" s="4">
        <v>799124</v>
      </c>
      <c r="BC22" s="3">
        <v>20</v>
      </c>
      <c r="BD22" s="16">
        <v>2.5027405008484291</v>
      </c>
      <c r="BH22" s="4">
        <v>807067</v>
      </c>
      <c r="BI22" s="3">
        <v>29</v>
      </c>
      <c r="BJ22" s="16">
        <v>3.5932580566421373</v>
      </c>
      <c r="BN22" s="6">
        <v>816193</v>
      </c>
      <c r="BO22" s="3">
        <v>17</v>
      </c>
      <c r="BP22" s="16">
        <v>2.082840700667612</v>
      </c>
      <c r="BT22" s="6">
        <v>823740</v>
      </c>
      <c r="BU22" s="3">
        <v>24</v>
      </c>
      <c r="BV22" s="16">
        <v>2.913540680311749</v>
      </c>
      <c r="BZ22" s="6">
        <v>833859</v>
      </c>
      <c r="CA22" s="3">
        <v>20</v>
      </c>
      <c r="CB22" s="16">
        <v>2.3984870343787139</v>
      </c>
      <c r="CF22" s="6">
        <v>842751</v>
      </c>
      <c r="CG22" s="3">
        <v>20</v>
      </c>
      <c r="CH22" s="16">
        <v>2.3731802157458133</v>
      </c>
      <c r="CL22" s="6">
        <v>849670</v>
      </c>
      <c r="CM22" s="3">
        <v>26</v>
      </c>
      <c r="CN22" s="16">
        <v>3.0600115338896274</v>
      </c>
      <c r="CR22" s="6">
        <v>854663</v>
      </c>
      <c r="CS22" s="3">
        <v>35</v>
      </c>
      <c r="CT22" s="16">
        <v>4.0951813755831248</v>
      </c>
      <c r="CX22" s="6">
        <v>863693</v>
      </c>
      <c r="CY22" s="3">
        <v>38</v>
      </c>
      <c r="CZ22" s="16">
        <v>4.3997114715529708</v>
      </c>
      <c r="DD22" s="6">
        <v>873732</v>
      </c>
      <c r="DE22" s="3">
        <v>34</v>
      </c>
      <c r="DF22" s="16">
        <v>3.8913534127169433</v>
      </c>
      <c r="DJ22" s="6">
        <v>879386</v>
      </c>
      <c r="DK22" s="3">
        <v>32</v>
      </c>
      <c r="DL22" s="16">
        <v>3.6389025979490235</v>
      </c>
      <c r="DP22" s="6">
        <v>887127</v>
      </c>
      <c r="DQ22" s="3">
        <v>29</v>
      </c>
      <c r="DR22" s="16">
        <v>3.2689795260430579</v>
      </c>
      <c r="DV22" s="6">
        <v>886667</v>
      </c>
      <c r="DW22" s="3">
        <v>52</v>
      </c>
      <c r="DX22" s="16">
        <v>5.5263137119121382</v>
      </c>
    </row>
    <row r="23" spans="1:132" x14ac:dyDescent="0.3">
      <c r="A23" s="3" t="s">
        <v>141</v>
      </c>
      <c r="B23" s="3" t="s">
        <v>94</v>
      </c>
      <c r="C23" s="4">
        <v>20944499</v>
      </c>
      <c r="D23" s="3">
        <v>1303</v>
      </c>
      <c r="E23" s="5">
        <v>6.2212039543175521</v>
      </c>
      <c r="F23" s="4">
        <f>C23-3400578</f>
        <v>17543921</v>
      </c>
      <c r="G23" s="3">
        <f>D23-290</f>
        <v>1013</v>
      </c>
      <c r="H23" s="16">
        <f>(G23/F23)*100000</f>
        <v>5.7740798080429112</v>
      </c>
      <c r="I23" s="4">
        <v>21319622</v>
      </c>
      <c r="J23" s="3">
        <v>1393</v>
      </c>
      <c r="K23" s="5">
        <v>6.5338869516542095</v>
      </c>
      <c r="L23" s="4">
        <f>I23-3471291</f>
        <v>17848331</v>
      </c>
      <c r="M23" s="3">
        <f>J23-317</f>
        <v>1076</v>
      </c>
      <c r="N23" s="16">
        <v>2.3747579066245192</v>
      </c>
      <c r="O23" s="4">
        <v>21690325</v>
      </c>
      <c r="P23" s="3">
        <v>1406</v>
      </c>
      <c r="Q23" s="5">
        <v>6.4821527570472082</v>
      </c>
      <c r="R23" s="4">
        <f>O23-3536682</f>
        <v>18153643</v>
      </c>
      <c r="S23" s="3">
        <f>P23-359</f>
        <v>1047</v>
      </c>
      <c r="T23" s="16">
        <f>(S23/R23)*100000</f>
        <v>5.7674374228908212</v>
      </c>
      <c r="U23" s="4">
        <v>22030931</v>
      </c>
      <c r="V23" s="3">
        <v>1515</v>
      </c>
      <c r="W23" s="5">
        <v>6.8766953153273453</v>
      </c>
      <c r="X23" s="4">
        <f>U23-3586133</f>
        <v>18444798</v>
      </c>
      <c r="Y23" s="3">
        <f>V23-379</f>
        <v>1136</v>
      </c>
      <c r="Z23" s="16">
        <f>(Y23/X23)*100000</f>
        <v>6.1589180862810213</v>
      </c>
      <c r="AA23" s="4">
        <v>22394023</v>
      </c>
      <c r="AB23" s="3">
        <v>1401</v>
      </c>
      <c r="AC23" s="5">
        <v>6.2561336120803306</v>
      </c>
      <c r="AD23" s="4">
        <f>AA23-3630185</f>
        <v>18763838</v>
      </c>
      <c r="AE23" s="3">
        <f>AB23-362</f>
        <v>1039</v>
      </c>
      <c r="AF23" s="16">
        <f>(AE23/AD23)*100000</f>
        <v>5.537246697610585</v>
      </c>
      <c r="AG23" s="4">
        <v>22778123</v>
      </c>
      <c r="AH23" s="3">
        <v>1482</v>
      </c>
      <c r="AI23" s="5">
        <v>6.5062428541631805</v>
      </c>
      <c r="AJ23" s="4">
        <f>AG23-3681829</f>
        <v>19096294</v>
      </c>
      <c r="AK23" s="3">
        <f>AH23-394</f>
        <v>1088</v>
      </c>
      <c r="AL23" s="16">
        <f>(AK23/AJ23)*100000</f>
        <v>5.697440560980052</v>
      </c>
      <c r="AM23" s="4">
        <v>23359580</v>
      </c>
      <c r="AN23" s="3">
        <v>1452</v>
      </c>
      <c r="AO23" s="5">
        <v>6.2158651825075628</v>
      </c>
      <c r="AP23" s="4">
        <f>AM23-3807435</f>
        <v>19552145</v>
      </c>
      <c r="AQ23" s="3">
        <f>AN23-443</f>
        <v>1009</v>
      </c>
      <c r="AR23" s="16">
        <f>(AQ23/AP23)*100000</f>
        <v>5.1605591100106922</v>
      </c>
      <c r="AS23" s="4">
        <v>23831983</v>
      </c>
      <c r="AT23" s="3">
        <v>1481</v>
      </c>
      <c r="AU23" s="5">
        <v>6.2143381018692407</v>
      </c>
      <c r="AV23" s="4">
        <f>AS23-3863344</f>
        <v>19968639</v>
      </c>
      <c r="AW23" s="3">
        <f>AT23-382</f>
        <v>1099</v>
      </c>
      <c r="AX23" s="16">
        <f>(AW23/AV23)*100000</f>
        <v>5.5036299669697071</v>
      </c>
      <c r="AY23" s="4">
        <v>24309039</v>
      </c>
      <c r="AZ23" s="3">
        <v>1476</v>
      </c>
      <c r="BA23" s="5">
        <v>6.0718155086262362</v>
      </c>
      <c r="BB23" s="4">
        <f>AY23-3938580</f>
        <v>20370459</v>
      </c>
      <c r="BC23" s="3">
        <f>AZ23-386</f>
        <v>1090</v>
      </c>
      <c r="BD23" s="16">
        <f>(BC23/BB23)*100000</f>
        <v>5.3508858096913769</v>
      </c>
      <c r="BE23" s="4">
        <v>24801761</v>
      </c>
      <c r="BF23" s="3">
        <v>1487</v>
      </c>
      <c r="BG23" s="5">
        <v>5.9955420101016212</v>
      </c>
      <c r="BH23" s="4">
        <f>BE23-4034866</f>
        <v>20766895</v>
      </c>
      <c r="BI23" s="3">
        <f>BF23-449</f>
        <v>1038</v>
      </c>
      <c r="BJ23" s="16">
        <f>(BI23/BH23)*100000</f>
        <v>4.9983399058934905</v>
      </c>
      <c r="BK23" s="6">
        <v>25241897</v>
      </c>
      <c r="BL23" s="3">
        <v>1343</v>
      </c>
      <c r="BM23" s="5">
        <v>5.3205192937757415</v>
      </c>
      <c r="BN23" s="4">
        <f>BK23-4092459</f>
        <v>21149438</v>
      </c>
      <c r="BO23" s="3">
        <f>BL23-366</f>
        <v>977</v>
      </c>
      <c r="BP23" s="16">
        <f>(BO23/BN23)*100000</f>
        <v>4.6195080928391574</v>
      </c>
      <c r="BQ23" s="6">
        <v>25645504</v>
      </c>
      <c r="BR23" s="3">
        <v>1251</v>
      </c>
      <c r="BS23" s="5">
        <v>4.8780480196450808</v>
      </c>
      <c r="BT23" s="4">
        <f>BQ23-4180894</f>
        <v>21464610</v>
      </c>
      <c r="BU23" s="3">
        <f>BR23-312</f>
        <v>939</v>
      </c>
      <c r="BV23" s="16">
        <f>(BU23/BT23)*100000</f>
        <v>4.3746427258636427</v>
      </c>
      <c r="BW23" s="6">
        <v>26084120</v>
      </c>
      <c r="BX23" s="3">
        <v>1304</v>
      </c>
      <c r="BY23" s="5">
        <v>4.9992102474609075</v>
      </c>
      <c r="BZ23" s="4">
        <f>BW23-4253700</f>
        <v>21830420</v>
      </c>
      <c r="CA23" s="3">
        <f>BX23-344</f>
        <v>960</v>
      </c>
      <c r="CB23" s="16">
        <f>(CA23/BZ23)*100000</f>
        <v>4.3975333502516216</v>
      </c>
      <c r="CC23" s="6">
        <v>26479646</v>
      </c>
      <c r="CD23" s="3">
        <v>1331</v>
      </c>
      <c r="CE23" s="5">
        <v>5.0265022425148738</v>
      </c>
      <c r="CF23" s="4">
        <f>CC23-4336853</f>
        <v>22142793</v>
      </c>
      <c r="CG23" s="3">
        <f>CD23-362</f>
        <v>969</v>
      </c>
      <c r="CH23" s="16">
        <f>(CG23/CF23)*100000</f>
        <v>4.376141708952435</v>
      </c>
      <c r="CI23" s="6">
        <v>26963092</v>
      </c>
      <c r="CJ23" s="4">
        <v>1389</v>
      </c>
      <c r="CK23" s="5">
        <v>5.1514863354692411</v>
      </c>
      <c r="CL23" s="4">
        <f>CI23-4441370</f>
        <v>22521722</v>
      </c>
      <c r="CM23" s="4">
        <f>CJ23-347</f>
        <v>1042</v>
      </c>
      <c r="CN23" s="16">
        <f>(CM23/CL23)*100000</f>
        <v>4.6266444457488642</v>
      </c>
      <c r="CO23" s="6">
        <v>27468531</v>
      </c>
      <c r="CP23" s="4">
        <v>1538</v>
      </c>
      <c r="CQ23" s="5">
        <v>5.5991345150565204</v>
      </c>
      <c r="CR23" s="4">
        <f>CO23-4538028</f>
        <v>22930503</v>
      </c>
      <c r="CS23" s="4">
        <f>CP23-444</f>
        <v>1094</v>
      </c>
      <c r="CT23" s="16">
        <f>(CS23/CR23)*100000</f>
        <v>4.7709376458074209</v>
      </c>
      <c r="CU23" s="6">
        <v>27914064</v>
      </c>
      <c r="CV23" s="4">
        <v>1669</v>
      </c>
      <c r="CW23" s="5">
        <v>5.9790648900138654</v>
      </c>
      <c r="CX23" s="4">
        <f>CU23-4589928</f>
        <v>23324136</v>
      </c>
      <c r="CY23" s="4">
        <f>CV23-430</f>
        <v>1239</v>
      </c>
      <c r="CZ23" s="16">
        <f>(CY23/CX23)*100000</f>
        <v>5.3120938756316631</v>
      </c>
      <c r="DA23" s="6">
        <v>28291024</v>
      </c>
      <c r="DB23" s="4">
        <v>1653</v>
      </c>
      <c r="DC23" s="5">
        <v>5.8428425920532252</v>
      </c>
      <c r="DD23" s="4">
        <f>DA23-4652980</f>
        <v>23638044</v>
      </c>
      <c r="DE23" s="4">
        <f>DB23-401</f>
        <v>1252</v>
      </c>
      <c r="DF23" s="16">
        <f>(DE23/DD23)*100000</f>
        <v>5.2965465332072315</v>
      </c>
      <c r="DG23" s="6">
        <v>28624564</v>
      </c>
      <c r="DH23" s="3">
        <v>1557</v>
      </c>
      <c r="DI23" s="5">
        <v>5.4393841597028336</v>
      </c>
      <c r="DJ23" s="4">
        <f>DG23-4698619</f>
        <v>23925945</v>
      </c>
      <c r="DK23" s="3">
        <f>DH23-385</f>
        <v>1172</v>
      </c>
      <c r="DL23" s="16">
        <f>(DK23/DJ23)*100000</f>
        <v>4.8984481072743415</v>
      </c>
      <c r="DM23" s="6">
        <v>28986794</v>
      </c>
      <c r="DN23" s="3">
        <v>1694</v>
      </c>
      <c r="DO23" s="5">
        <v>5.844040565507175</v>
      </c>
      <c r="DP23" s="4">
        <f>DM23-4713325</f>
        <v>24273469</v>
      </c>
      <c r="DQ23" s="3">
        <f>DN23-421</f>
        <v>1273</v>
      </c>
      <c r="DR23" s="16">
        <f>(DQ23/DP23)*100000</f>
        <v>5.2444090294634025</v>
      </c>
      <c r="DS23" s="6">
        <v>29000000</v>
      </c>
      <c r="DT23" s="3">
        <v>2189</v>
      </c>
      <c r="DU23" s="5">
        <v>6.6448275862068975</v>
      </c>
      <c r="DV23" s="4">
        <f>DS23-4738253</f>
        <v>24261747</v>
      </c>
      <c r="DW23" s="3">
        <f>DT23-563</f>
        <v>1626</v>
      </c>
      <c r="DX23" s="16">
        <f>(DW23/DV23)*100000</f>
        <v>6.7019081519562462</v>
      </c>
    </row>
    <row r="24" spans="1:132" x14ac:dyDescent="0.3">
      <c r="A24" s="3" t="s">
        <v>142</v>
      </c>
      <c r="B24" s="3" t="s">
        <v>94</v>
      </c>
      <c r="C24" s="4">
        <v>2244502</v>
      </c>
      <c r="D24" s="3">
        <v>51</v>
      </c>
      <c r="E24" s="5">
        <v>2.2722189599296416</v>
      </c>
      <c r="F24" s="4">
        <f>C24-898387</f>
        <v>1346115</v>
      </c>
      <c r="G24" s="3">
        <f>D24-25</f>
        <v>26</v>
      </c>
      <c r="H24" s="16">
        <f>(G24/F24)*100000</f>
        <v>1.9314843085471893</v>
      </c>
      <c r="I24" s="4">
        <v>2283715</v>
      </c>
      <c r="J24" s="3">
        <v>76</v>
      </c>
      <c r="K24" s="5">
        <v>3.3279108820496428</v>
      </c>
      <c r="L24" s="4">
        <f>I24-910750</f>
        <v>1372965</v>
      </c>
      <c r="M24" s="3">
        <f>J24-38</f>
        <v>38</v>
      </c>
      <c r="N24" s="16">
        <v>2.3747579066245192</v>
      </c>
      <c r="O24" s="4">
        <v>2324815</v>
      </c>
      <c r="P24" s="3">
        <v>54</v>
      </c>
      <c r="Q24" s="5">
        <v>2.3227654673597686</v>
      </c>
      <c r="R24" s="4">
        <f>O24-918152</f>
        <v>1406663</v>
      </c>
      <c r="S24" s="3">
        <f>P24-28</f>
        <v>26</v>
      </c>
      <c r="T24" s="16">
        <f>(S24/R24)*100000</f>
        <v>1.8483460501911262</v>
      </c>
      <c r="U24" s="4">
        <v>2360137</v>
      </c>
      <c r="V24" s="3">
        <v>55</v>
      </c>
      <c r="W24" s="5">
        <v>2.3303731944374415</v>
      </c>
      <c r="X24" s="4">
        <f>U24-924802</f>
        <v>1435335</v>
      </c>
      <c r="Y24" s="3">
        <f>V24-34</f>
        <v>21</v>
      </c>
      <c r="Z24" s="16">
        <f>(Y24/X24)*100000</f>
        <v>1.4630730805003711</v>
      </c>
      <c r="AA24" s="4">
        <v>2401580</v>
      </c>
      <c r="AB24" s="3">
        <v>45</v>
      </c>
      <c r="AC24" s="5">
        <v>1.8737664370955789</v>
      </c>
      <c r="AD24" s="4">
        <f>AA24-934140</f>
        <v>1467440</v>
      </c>
      <c r="AE24" s="3">
        <f>AB24-31</f>
        <v>14</v>
      </c>
      <c r="AF24" s="16">
        <f>(AE24/AD24)*100000</f>
        <v>0.95404241399989098</v>
      </c>
      <c r="AG24" s="4">
        <v>2457719</v>
      </c>
      <c r="AH24" s="3">
        <v>63</v>
      </c>
      <c r="AI24" s="5">
        <v>2.5633524418373295</v>
      </c>
      <c r="AJ24" s="4">
        <f>AG24-947963</f>
        <v>1509756</v>
      </c>
      <c r="AK24" s="3">
        <f>AH24-31</f>
        <v>32</v>
      </c>
      <c r="AL24" s="16">
        <f>(AK24/AJ24)*100000</f>
        <v>2.1195477944780481</v>
      </c>
      <c r="AM24" s="4">
        <v>2525507</v>
      </c>
      <c r="AN24" s="3">
        <v>52</v>
      </c>
      <c r="AO24" s="5">
        <v>2.0589925112066605</v>
      </c>
      <c r="AP24" s="4">
        <f>AM24-966798</f>
        <v>1558709</v>
      </c>
      <c r="AQ24" s="3">
        <f>AN24-21</f>
        <v>31</v>
      </c>
      <c r="AR24" s="16">
        <f>(AQ24/AP24)*100000</f>
        <v>1.9888253676600316</v>
      </c>
      <c r="AS24" s="4">
        <v>2597746</v>
      </c>
      <c r="AT24" s="3">
        <v>67</v>
      </c>
      <c r="AU24" s="5">
        <v>2.5791590093873689</v>
      </c>
      <c r="AV24" s="4">
        <f>AS24-983719</f>
        <v>1614027</v>
      </c>
      <c r="AW24" s="3">
        <f>AT24-46</f>
        <v>21</v>
      </c>
      <c r="AX24" s="16">
        <f>(AW24/AV24)*100000</f>
        <v>1.3010934761314401</v>
      </c>
      <c r="AY24" s="4">
        <v>2663029</v>
      </c>
      <c r="AZ24" s="3">
        <v>45</v>
      </c>
      <c r="BA24" s="5">
        <v>1.6898051053893894</v>
      </c>
      <c r="BB24" s="4">
        <f>AY24-999553</f>
        <v>1663476</v>
      </c>
      <c r="BC24" s="3">
        <f>AZ24-28</f>
        <v>17</v>
      </c>
      <c r="BD24" s="16">
        <f>(BC24/BB24)*100000</f>
        <v>1.0219564333960935</v>
      </c>
      <c r="BE24" s="4">
        <v>2723421</v>
      </c>
      <c r="BF24" s="3">
        <v>51</v>
      </c>
      <c r="BG24" s="5">
        <v>1.87264473616088</v>
      </c>
      <c r="BH24" s="4">
        <f>BE24-1016795</f>
        <v>1706626</v>
      </c>
      <c r="BI24" s="3">
        <f>BF24-26</f>
        <v>25</v>
      </c>
      <c r="BJ24" s="16">
        <f>(BI24/BH24)*100000</f>
        <v>1.4648786553117086</v>
      </c>
      <c r="BK24" s="6">
        <v>2775413</v>
      </c>
      <c r="BL24" s="3">
        <v>50</v>
      </c>
      <c r="BM24" s="5">
        <v>1.8015336816538656</v>
      </c>
      <c r="BN24" s="4">
        <f>BK24-1029655</f>
        <v>1745758</v>
      </c>
      <c r="BO24" s="3">
        <f>BL24-32</f>
        <v>18</v>
      </c>
      <c r="BP24" s="16">
        <f>(BO24/BN24)*100000</f>
        <v>1.031070744055018</v>
      </c>
      <c r="BQ24" s="6">
        <v>2814797</v>
      </c>
      <c r="BR24" s="3">
        <v>56</v>
      </c>
      <c r="BS24" s="5">
        <v>1.9894862755644545</v>
      </c>
      <c r="BT24" s="4">
        <f>BQ24-1048985</f>
        <v>1765812</v>
      </c>
      <c r="BU24" s="3">
        <f>BR24-24</f>
        <v>32</v>
      </c>
      <c r="BV24" s="16">
        <f>(BU24/BT24)*100000</f>
        <v>1.8121974479729439</v>
      </c>
      <c r="BW24" s="6">
        <v>2854146</v>
      </c>
      <c r="BX24" s="3">
        <v>46</v>
      </c>
      <c r="BY24" s="5">
        <v>1.6116905021677239</v>
      </c>
      <c r="BZ24" s="4">
        <f>BW24-1063842</f>
        <v>1790304</v>
      </c>
      <c r="CA24" s="3">
        <f>BX24-24</f>
        <v>22</v>
      </c>
      <c r="CB24" s="16">
        <f>(CA24/BZ24)*100000</f>
        <v>1.2288415822117362</v>
      </c>
      <c r="CC24" s="6">
        <v>2898773</v>
      </c>
      <c r="CD24" s="3">
        <v>51</v>
      </c>
      <c r="CE24" s="5">
        <v>1.7593650830886034</v>
      </c>
      <c r="CF24" s="4">
        <f>CC24-1079721</f>
        <v>1819052</v>
      </c>
      <c r="CG24" s="3">
        <f>CD24-19</f>
        <v>32</v>
      </c>
      <c r="CH24" s="16">
        <f>(CG24/CF24)*100000</f>
        <v>1.759158066949158</v>
      </c>
      <c r="CI24" s="6">
        <v>2938327</v>
      </c>
      <c r="CJ24" s="3">
        <v>61</v>
      </c>
      <c r="CK24" s="5">
        <v>2.0760112812495</v>
      </c>
      <c r="CL24" s="4">
        <f>CI24-1091742</f>
        <v>1846585</v>
      </c>
      <c r="CM24" s="3">
        <f>CJ24-25</f>
        <v>36</v>
      </c>
      <c r="CN24" s="16">
        <f>(CM24/CL24)*100000</f>
        <v>1.9495447000815016</v>
      </c>
      <c r="CO24" s="6">
        <v>2983626</v>
      </c>
      <c r="CP24" s="3">
        <v>60</v>
      </c>
      <c r="CQ24" s="5">
        <v>2.0109759064976642</v>
      </c>
      <c r="CR24" s="4">
        <f>CO24-1107314</f>
        <v>1876312</v>
      </c>
      <c r="CS24" s="3">
        <f>CP24-29</f>
        <v>31</v>
      </c>
      <c r="CT24" s="16">
        <f>(CS24/CR24)*100000</f>
        <v>1.6521772498390461</v>
      </c>
      <c r="CU24" s="6">
        <v>3044241</v>
      </c>
      <c r="CV24" s="3">
        <v>80</v>
      </c>
      <c r="CW24" s="5">
        <v>2.6279128360730968</v>
      </c>
      <c r="CX24" s="4">
        <f>CU24-1121354</f>
        <v>1922887</v>
      </c>
      <c r="CY24" s="3">
        <f>CV24-43</f>
        <v>37</v>
      </c>
      <c r="CZ24" s="16">
        <f>(CY24/CX24)*100000</f>
        <v>1.92419003300766</v>
      </c>
      <c r="DA24" s="6">
        <v>3103540</v>
      </c>
      <c r="DB24" s="3">
        <v>79</v>
      </c>
      <c r="DC24" s="5">
        <v>2.5454803224704694</v>
      </c>
      <c r="DD24" s="4">
        <f>DA24-1135649</f>
        <v>1967891</v>
      </c>
      <c r="DE24" s="3">
        <f>DB24-36</f>
        <v>43</v>
      </c>
      <c r="DF24" s="16">
        <f>(DE24/DD24)*100000</f>
        <v>2.1850803728458539</v>
      </c>
      <c r="DG24" s="6">
        <v>3155153</v>
      </c>
      <c r="DH24" s="3">
        <v>67</v>
      </c>
      <c r="DI24" s="5">
        <v>2.1235103337302506</v>
      </c>
      <c r="DJ24" s="4">
        <f>DG24-1152633</f>
        <v>2002520</v>
      </c>
      <c r="DK24" s="3">
        <f>DH24-30</f>
        <v>37</v>
      </c>
      <c r="DL24" s="16">
        <f>(DK24/DJ24)*100000</f>
        <v>1.8476719333639615</v>
      </c>
      <c r="DM24" s="6">
        <v>3203383</v>
      </c>
      <c r="DN24" s="3">
        <v>82</v>
      </c>
      <c r="DO24" s="5">
        <v>2.5597938179730613</v>
      </c>
      <c r="DP24" s="4">
        <f>DM24-1160437</f>
        <v>2042946</v>
      </c>
      <c r="DQ24" s="3">
        <f>DN24-41</f>
        <v>41</v>
      </c>
      <c r="DR24" s="16">
        <f>(DQ24/DP24)*100000</f>
        <v>2.006905713611618</v>
      </c>
      <c r="DS24" s="6">
        <v>3206000</v>
      </c>
      <c r="DT24" s="3">
        <v>94</v>
      </c>
      <c r="DU24" s="5">
        <v>2.5265127885215222</v>
      </c>
      <c r="DV24" s="4">
        <f>DS24-1165517</f>
        <v>2040483</v>
      </c>
      <c r="DW24" s="3">
        <f>DT24-51</f>
        <v>43</v>
      </c>
      <c r="DX24" s="16">
        <f>(DW24/DV24)*100000</f>
        <v>2.1073441925269654</v>
      </c>
    </row>
    <row r="25" spans="1:132" x14ac:dyDescent="0.3">
      <c r="A25" s="2" t="s">
        <v>143</v>
      </c>
      <c r="B25" s="3" t="s">
        <v>94</v>
      </c>
      <c r="C25" s="4">
        <v>1807021</v>
      </c>
      <c r="D25" s="3">
        <v>79</v>
      </c>
      <c r="E25" s="5">
        <v>4.3718362985266905</v>
      </c>
      <c r="F25" s="4">
        <f>C25-200073</f>
        <v>1606948</v>
      </c>
      <c r="G25" s="3">
        <f>D25-13</f>
        <v>66</v>
      </c>
      <c r="H25" s="16">
        <f>(G25/F25)*100000</f>
        <v>4.1071646375613895</v>
      </c>
      <c r="I25" s="4">
        <v>1801481</v>
      </c>
      <c r="J25" s="3">
        <v>66</v>
      </c>
      <c r="K25" s="5">
        <v>3.6636522949728585</v>
      </c>
      <c r="N25" s="16">
        <f>K25</f>
        <v>3.6636522949728585</v>
      </c>
      <c r="O25" s="4">
        <v>1805414</v>
      </c>
      <c r="P25" s="3">
        <v>95</v>
      </c>
      <c r="Q25" s="5">
        <v>5.2619509984967436</v>
      </c>
      <c r="R25" s="4">
        <f>O25-196422</f>
        <v>1608992</v>
      </c>
      <c r="S25" s="3">
        <f>P25-10</f>
        <v>85</v>
      </c>
      <c r="T25" s="16">
        <f>(S25/R25)*100000</f>
        <v>5.2828106044032541</v>
      </c>
      <c r="U25" s="4">
        <v>1812295</v>
      </c>
      <c r="V25" s="3">
        <v>89</v>
      </c>
      <c r="W25" s="5">
        <v>4.9109002673405824</v>
      </c>
      <c r="X25" s="4">
        <f>U25-195960</f>
        <v>1616335</v>
      </c>
      <c r="Y25" s="3">
        <f>V25-20</f>
        <v>69</v>
      </c>
      <c r="Z25" s="16">
        <f>(Y25/X25)*100000</f>
        <v>4.2689170252453854</v>
      </c>
      <c r="AA25" s="4">
        <v>1816438</v>
      </c>
      <c r="AB25" s="3">
        <v>79</v>
      </c>
      <c r="AC25" s="5">
        <v>4.3491712901844162</v>
      </c>
      <c r="AD25" s="4">
        <f>AA25-195364</f>
        <v>1621074</v>
      </c>
      <c r="AE25" s="3">
        <f>AB25-15</f>
        <v>64</v>
      </c>
      <c r="AF25" s="16">
        <f>(AE25/AD25)*100000</f>
        <v>3.947999906235002</v>
      </c>
      <c r="AG25" s="4">
        <v>1820492</v>
      </c>
      <c r="AH25" s="3">
        <v>92</v>
      </c>
      <c r="AI25" s="5">
        <v>5.0535789226209173</v>
      </c>
      <c r="AJ25" s="4">
        <f>AG25-193878</f>
        <v>1626614</v>
      </c>
      <c r="AK25" s="3">
        <f>AH25-13</f>
        <v>79</v>
      </c>
      <c r="AL25" s="16">
        <f>(AK25/AJ25)*100000</f>
        <v>4.8567146231373881</v>
      </c>
      <c r="AM25" s="4">
        <v>1827912</v>
      </c>
      <c r="AN25" s="3">
        <v>92</v>
      </c>
      <c r="AO25" s="5">
        <v>5.0330650490833255</v>
      </c>
      <c r="AP25" s="4">
        <f>AM25-192954</f>
        <v>1634958</v>
      </c>
      <c r="AQ25" s="3">
        <f>AN25-17</f>
        <v>75</v>
      </c>
      <c r="AR25" s="16">
        <f>(AQ25/AP25)*100000</f>
        <v>4.5872738015288466</v>
      </c>
      <c r="AS25" s="4">
        <v>1834052</v>
      </c>
      <c r="AT25" s="3">
        <v>84</v>
      </c>
      <c r="AU25" s="5">
        <v>4.5800228128755345</v>
      </c>
      <c r="AX25" s="16">
        <f>AU25</f>
        <v>4.5800228128755345</v>
      </c>
      <c r="AY25" s="4">
        <v>1840310</v>
      </c>
      <c r="AZ25" s="3">
        <v>70</v>
      </c>
      <c r="BA25" s="5">
        <v>3.8037069841494096</v>
      </c>
      <c r="BB25" s="4">
        <f>AY25-192414</f>
        <v>1647896</v>
      </c>
      <c r="BC25" s="3">
        <f>AZ25-13</f>
        <v>57</v>
      </c>
      <c r="BD25" s="16">
        <f>(BC25/BB25)*100000</f>
        <v>3.4589561477180597</v>
      </c>
      <c r="BE25" s="4">
        <v>1847775</v>
      </c>
      <c r="BF25" s="3">
        <v>90</v>
      </c>
      <c r="BG25" s="5">
        <v>4.8707228964565497</v>
      </c>
      <c r="BH25" s="4">
        <f>BE25-193150</f>
        <v>1654625</v>
      </c>
      <c r="BI25" s="3">
        <f>BF25-11</f>
        <v>79</v>
      </c>
      <c r="BJ25" s="16">
        <f>(BI25/BH25)*100000</f>
        <v>4.7744957316612524</v>
      </c>
      <c r="BK25" s="6">
        <v>1854265</v>
      </c>
      <c r="BL25" s="3">
        <v>86</v>
      </c>
      <c r="BM25" s="5">
        <v>4.6379562791726103</v>
      </c>
      <c r="BN25" s="4">
        <f>BK25-192179</f>
        <v>1662086</v>
      </c>
      <c r="BO25" s="3">
        <f>BL25-12</f>
        <v>74</v>
      </c>
      <c r="BP25" s="16">
        <f>(BO25/BN25)*100000</f>
        <v>4.4522365268704513</v>
      </c>
      <c r="BQ25" s="6">
        <v>1856606</v>
      </c>
      <c r="BR25" s="3">
        <v>99</v>
      </c>
      <c r="BS25" s="5">
        <v>5.3323106787331298</v>
      </c>
      <c r="BT25" s="4">
        <f>BQ25-192179</f>
        <v>1664427</v>
      </c>
      <c r="BU25" s="3">
        <f>BR25-10</f>
        <v>89</v>
      </c>
      <c r="BV25" s="16">
        <f>(BU25/BT25)*100000</f>
        <v>5.3471855479393211</v>
      </c>
      <c r="BW25" s="6">
        <v>1857446</v>
      </c>
      <c r="BX25" s="3">
        <v>101</v>
      </c>
      <c r="BY25" s="5">
        <v>5.4375739590814485</v>
      </c>
      <c r="BZ25" s="4">
        <f>BW25-192179</f>
        <v>1665267</v>
      </c>
      <c r="CA25" s="3">
        <f>BX25-12</f>
        <v>89</v>
      </c>
      <c r="CB25" s="16">
        <f>(CA25/BZ25)*100000</f>
        <v>5.344488301275411</v>
      </c>
      <c r="CC25" s="6">
        <v>1854768</v>
      </c>
      <c r="CD25" s="3">
        <v>71</v>
      </c>
      <c r="CE25" s="5">
        <v>3.8279720159071107</v>
      </c>
      <c r="CH25" s="16">
        <f>CE25</f>
        <v>3.8279720159071107</v>
      </c>
      <c r="CI25" s="6">
        <v>1850569</v>
      </c>
      <c r="CJ25" s="3">
        <v>103</v>
      </c>
      <c r="CK25" s="5">
        <v>5.5658556908712944</v>
      </c>
      <c r="CL25" s="4">
        <f>CI25-190223</f>
        <v>1660346</v>
      </c>
      <c r="CM25" s="3">
        <f>CJ25-12</f>
        <v>91</v>
      </c>
      <c r="CN25" s="16">
        <f>(CM25/CL25)*100000</f>
        <v>5.4807853302865794</v>
      </c>
      <c r="CO25" s="6">
        <v>1843332</v>
      </c>
      <c r="CP25" s="3">
        <v>80</v>
      </c>
      <c r="CQ25" s="5">
        <v>4.3399669728513368</v>
      </c>
      <c r="CR25" s="4">
        <f>CO25-188332</f>
        <v>1655000</v>
      </c>
      <c r="CS25" s="3">
        <f>CP25-13</f>
        <v>67</v>
      </c>
      <c r="CT25" s="16">
        <f>(CS25/CR25)*100000</f>
        <v>4.0483383685800609</v>
      </c>
      <c r="CU25" s="6">
        <v>1832435</v>
      </c>
      <c r="CV25" s="3">
        <v>108</v>
      </c>
      <c r="CW25" s="5">
        <v>5.8937970514643085</v>
      </c>
      <c r="CX25" s="4">
        <f>CU25-186241</f>
        <v>1646194</v>
      </c>
      <c r="CY25" s="3">
        <f>CV25-17</f>
        <v>91</v>
      </c>
      <c r="CZ25" s="16">
        <f>(CY25/CX25)*100000</f>
        <v>5.5279025436856166</v>
      </c>
      <c r="DA25" s="6">
        <v>1818683</v>
      </c>
      <c r="DB25" s="3">
        <v>112</v>
      </c>
      <c r="DC25" s="5">
        <v>6.1583024639258186</v>
      </c>
      <c r="DD25" s="4">
        <f>DA25-183293</f>
        <v>1635390</v>
      </c>
      <c r="DE25" s="3">
        <f>DB25-16</f>
        <v>96</v>
      </c>
      <c r="DF25" s="16">
        <f>(DE25/DD25)*100000</f>
        <v>5.8701594115165197</v>
      </c>
      <c r="DG25" s="6">
        <v>1805953</v>
      </c>
      <c r="DH25" s="3">
        <v>97</v>
      </c>
      <c r="DI25" s="5">
        <v>5.3711253836617008</v>
      </c>
      <c r="DJ25" s="4">
        <f>DG25-180454</f>
        <v>1625499</v>
      </c>
      <c r="DK25" s="3">
        <f>DH25-20</f>
        <v>77</v>
      </c>
      <c r="DL25" s="16">
        <f>(DK25/DJ25)*100000</f>
        <v>4.7370069129541141</v>
      </c>
      <c r="DM25" s="6">
        <v>1795263</v>
      </c>
      <c r="DN25" s="3">
        <v>92</v>
      </c>
      <c r="DO25" s="5">
        <v>5.1245973431190857</v>
      </c>
      <c r="DP25" s="4">
        <f>DM25-178124</f>
        <v>1617139</v>
      </c>
      <c r="DQ25" s="3">
        <f>DN25-16</f>
        <v>76</v>
      </c>
      <c r="DR25" s="16">
        <f>(DQ25/DP25)*100000</f>
        <v>4.6996578525408141</v>
      </c>
      <c r="DS25" s="6">
        <v>1792000</v>
      </c>
      <c r="DT25" s="3">
        <v>114</v>
      </c>
      <c r="DU25" s="5">
        <v>6.5290178571428568</v>
      </c>
      <c r="DV25" s="4">
        <f>DS25-176253</f>
        <v>1615747</v>
      </c>
      <c r="DW25" s="3">
        <f>DT25-22</f>
        <v>92</v>
      </c>
      <c r="DX25" s="16">
        <f>(DW25/DV25)*100000</f>
        <v>5.6939607500431695</v>
      </c>
    </row>
    <row r="26" spans="1:132" x14ac:dyDescent="0.3">
      <c r="A26" s="3" t="s">
        <v>118</v>
      </c>
      <c r="B26" s="3" t="s">
        <v>94</v>
      </c>
      <c r="F26" s="4">
        <v>494300</v>
      </c>
      <c r="G26" s="3">
        <v>10</v>
      </c>
      <c r="H26" s="16">
        <v>2.0230629172567269</v>
      </c>
      <c r="L26" s="4">
        <v>494657</v>
      </c>
      <c r="M26" s="3">
        <v>15</v>
      </c>
      <c r="N26" s="16">
        <v>3.0324042720511382</v>
      </c>
      <c r="R26" s="4">
        <v>500017</v>
      </c>
      <c r="S26" s="3">
        <v>23</v>
      </c>
      <c r="T26" s="16">
        <v>4.5998436053174192</v>
      </c>
      <c r="X26" s="4">
        <v>503453</v>
      </c>
      <c r="Y26" s="3">
        <v>16</v>
      </c>
      <c r="Z26" s="16">
        <v>3.1780523703304975</v>
      </c>
      <c r="AD26" s="4">
        <v>509106</v>
      </c>
      <c r="AE26" s="3">
        <v>19</v>
      </c>
      <c r="AF26" s="16">
        <v>3.7320322290446386</v>
      </c>
      <c r="AJ26" s="4">
        <v>514157</v>
      </c>
      <c r="AK26" s="3">
        <v>16</v>
      </c>
      <c r="AL26" s="16">
        <v>3.1118899480119886</v>
      </c>
      <c r="AP26" s="4">
        <v>522667</v>
      </c>
      <c r="AQ26" s="3">
        <v>9</v>
      </c>
      <c r="AR26" s="16">
        <f>(AQ26/AP26)*100000</f>
        <v>1.7219376773356649</v>
      </c>
      <c r="AV26" s="4">
        <v>534876</v>
      </c>
      <c r="AW26" s="3">
        <v>17</v>
      </c>
      <c r="AX26" s="16">
        <v>3.1783067477321842</v>
      </c>
      <c r="BB26" s="4">
        <v>546043</v>
      </c>
      <c r="BC26" s="3">
        <v>18</v>
      </c>
      <c r="BD26" s="16">
        <v>3.2964436866693649</v>
      </c>
      <c r="BH26" s="4">
        <v>559851</v>
      </c>
      <c r="BI26" s="3">
        <v>16</v>
      </c>
      <c r="BJ26" s="16">
        <v>2.8579032635469082</v>
      </c>
      <c r="BN26" s="6">
        <v>564531</v>
      </c>
      <c r="BO26" s="3">
        <v>8</v>
      </c>
      <c r="BP26" s="16">
        <f>(BO26/BN26)*100000</f>
        <v>1.4171055265344152</v>
      </c>
      <c r="BT26" s="6">
        <v>567491</v>
      </c>
      <c r="BU26" s="3">
        <v>23</v>
      </c>
      <c r="BV26" s="16">
        <v>4.0529277116289064</v>
      </c>
      <c r="BZ26" s="6">
        <v>576656</v>
      </c>
      <c r="CA26" s="3">
        <v>20</v>
      </c>
      <c r="CB26" s="16">
        <v>3.4682722454981829</v>
      </c>
      <c r="CF26" s="6">
        <v>582620</v>
      </c>
      <c r="CG26" s="3">
        <v>16</v>
      </c>
      <c r="CH26" s="16">
        <v>2.7462153719405444</v>
      </c>
      <c r="CL26" s="6">
        <v>583159</v>
      </c>
      <c r="CM26" s="3">
        <v>24</v>
      </c>
      <c r="CN26" s="16">
        <v>4.1155156655389016</v>
      </c>
      <c r="CR26" s="6">
        <v>586389</v>
      </c>
      <c r="CS26" s="3">
        <v>17</v>
      </c>
      <c r="CT26" s="16">
        <v>2.8990994032971287</v>
      </c>
      <c r="CX26" s="6">
        <v>585243</v>
      </c>
      <c r="CY26" s="3">
        <v>17</v>
      </c>
      <c r="CZ26" s="16">
        <v>2.9047763065940133</v>
      </c>
      <c r="DD26" s="6">
        <v>579994</v>
      </c>
      <c r="DE26" s="3">
        <v>19</v>
      </c>
      <c r="DF26" s="16">
        <v>3.2758959575443884</v>
      </c>
      <c r="DJ26" s="6">
        <v>579054</v>
      </c>
      <c r="DK26" s="3">
        <v>22</v>
      </c>
      <c r="DL26" s="16">
        <v>3.799300237974351</v>
      </c>
      <c r="DP26" s="6">
        <v>580116</v>
      </c>
      <c r="DQ26" s="3">
        <v>25</v>
      </c>
      <c r="DR26" s="16">
        <v>4.3094829310000069</v>
      </c>
      <c r="DV26" s="6">
        <v>576851</v>
      </c>
      <c r="DW26" s="3">
        <v>25</v>
      </c>
      <c r="DX26" s="16">
        <v>3.9871647964552372</v>
      </c>
    </row>
    <row r="27" spans="1:132" x14ac:dyDescent="0.3">
      <c r="F27" s="4">
        <f>SUM(F2:F26)</f>
        <v>102588093</v>
      </c>
      <c r="G27" s="4">
        <f>SUM(G2:G26)</f>
        <v>5974</v>
      </c>
      <c r="H27" s="5">
        <f>(G27/F27)*100000</f>
        <v>5.8232878936544807</v>
      </c>
      <c r="L27" s="4">
        <f>SUM(L2:L26)</f>
        <v>101956487</v>
      </c>
      <c r="M27" s="4">
        <f>SUM(M2:M26)</f>
        <v>6094</v>
      </c>
      <c r="N27" s="5">
        <f>(M27/L27)*100000</f>
        <v>5.977059605829691</v>
      </c>
      <c r="R27" s="4">
        <f>SUM(R2:R26)</f>
        <v>104614218</v>
      </c>
      <c r="S27" s="4">
        <f>SUM(S2:S26)</f>
        <v>6059</v>
      </c>
      <c r="T27" s="5">
        <f>(S27/R27)*100000</f>
        <v>5.7917557630646348</v>
      </c>
      <c r="X27" s="4">
        <f>SUM(X2:X26)</f>
        <v>105673479</v>
      </c>
      <c r="Y27" s="4">
        <f>SUM(Y2:Y26)</f>
        <v>5950</v>
      </c>
      <c r="Z27" s="5">
        <f>(Y27/X27)*100000</f>
        <v>5.6305518246446677</v>
      </c>
      <c r="AD27" s="4">
        <f>SUM(AD2:AD26)</f>
        <v>102734406</v>
      </c>
      <c r="AE27" s="4">
        <f>SUM(AE2:AE26)</f>
        <v>5516</v>
      </c>
      <c r="AF27" s="5">
        <f>(AE27/AD27)*100000</f>
        <v>5.3691846916406947</v>
      </c>
      <c r="AJ27" s="4">
        <f>SUM(AJ2:AJ26)</f>
        <v>108357728</v>
      </c>
      <c r="AK27" s="4">
        <f>SUM(AK2:AK26)</f>
        <v>6147</v>
      </c>
      <c r="AL27" s="5">
        <f>(AK27/AJ27)*100000</f>
        <v>5.6728764191142877</v>
      </c>
      <c r="AP27" s="4">
        <f>SUM(AP2:AP26)</f>
        <v>109903251</v>
      </c>
      <c r="AQ27" s="4">
        <f>SUM(AQ2:AQ26)</f>
        <v>6399</v>
      </c>
      <c r="AR27" s="5">
        <f>(AQ27/AP27)*100000</f>
        <v>5.8223937342854395</v>
      </c>
      <c r="AV27" s="4">
        <f>SUM(AV2:AV26)</f>
        <v>109659905</v>
      </c>
      <c r="AW27" s="4">
        <f>SUM(AW2:AW26)</f>
        <v>6571</v>
      </c>
      <c r="AX27" s="5">
        <f>(AW27/AV27)*100000</f>
        <v>5.9921627690631318</v>
      </c>
      <c r="BB27" s="4">
        <f>SUM(BB2:BB26)</f>
        <v>112165726</v>
      </c>
      <c r="BC27" s="4">
        <f>SUM(BC2:BC26)</f>
        <v>6514</v>
      </c>
      <c r="BD27" s="5">
        <f>(BC27/BB27)*100000</f>
        <v>5.8074781239324391</v>
      </c>
      <c r="BH27" s="4">
        <f>SUM(BH2:BH26)</f>
        <v>113675926</v>
      </c>
      <c r="BI27" s="4">
        <f>SUM(BI2:BI26)</f>
        <v>6203</v>
      </c>
      <c r="BJ27" s="5">
        <f>(BI27/BH27)*100000</f>
        <v>5.4567402424326854</v>
      </c>
      <c r="BN27" s="4">
        <f>SUM(BN2:BN26)</f>
        <v>114814496</v>
      </c>
      <c r="BO27" s="4">
        <f>SUM(BO2:BO26)</f>
        <v>5822</v>
      </c>
      <c r="BP27" s="5">
        <f>(BO27/BN27)*100000</f>
        <v>5.0707882739824077</v>
      </c>
      <c r="BT27" s="4">
        <f>SUM(BT2:BT26)</f>
        <v>115650733</v>
      </c>
      <c r="BU27" s="4">
        <f>SUM(BU2:BU26)</f>
        <v>6050</v>
      </c>
      <c r="BV27" s="5">
        <f>(BU27/BT27)*100000</f>
        <v>5.2312681840071003</v>
      </c>
      <c r="BZ27" s="4">
        <f>SUM(BZ2:BZ26)</f>
        <v>116623851</v>
      </c>
      <c r="CA27" s="4">
        <f>SUM(CA2:CA26)</f>
        <v>6228</v>
      </c>
      <c r="CB27" s="5">
        <f>(CA27/BZ27)*100000</f>
        <v>5.3402455386248562</v>
      </c>
      <c r="CF27" s="4">
        <f>SUM(CF2:CF26)</f>
        <v>115905775</v>
      </c>
      <c r="CG27" s="4">
        <f>SUM(CG2:CG26)</f>
        <v>6034</v>
      </c>
      <c r="CH27" s="5">
        <f>(CG27/CF27)*100000</f>
        <v>5.2059528526512162</v>
      </c>
      <c r="CL27" s="4">
        <f>SUM(CL2:CL26)</f>
        <v>118596760</v>
      </c>
      <c r="CM27" s="4">
        <f>SUM(CM2:CM26)</f>
        <v>6304</v>
      </c>
      <c r="CN27" s="5">
        <f>(CM27/CL27)*100000</f>
        <v>5.3154909122306542</v>
      </c>
      <c r="CR27" s="4">
        <f>SUM(CR2:CR26)</f>
        <v>119721729</v>
      </c>
      <c r="CS27" s="4">
        <f>SUM(CS2:CS26)</f>
        <v>6897</v>
      </c>
      <c r="CT27" s="5">
        <f>(CS27/CR27)*100000</f>
        <v>5.7608589999564739</v>
      </c>
      <c r="CX27" s="4">
        <f>SUM(CX2:CX26)</f>
        <v>120935426</v>
      </c>
      <c r="CY27" s="4">
        <f>SUM(CY2:CY26)</f>
        <v>7717</v>
      </c>
      <c r="CZ27" s="5">
        <f>(CY27/CX27)*100000</f>
        <v>6.3810913437390955</v>
      </c>
      <c r="DD27" s="4">
        <f>SUM(DD2:DD26)</f>
        <v>121942276</v>
      </c>
      <c r="DE27" s="4">
        <f>SUM(DE2:DE26)</f>
        <v>7896</v>
      </c>
      <c r="DF27" s="5">
        <f>(DE27/DD27)*100000</f>
        <v>6.4751948700711468</v>
      </c>
      <c r="DJ27" s="4">
        <f>SUM(DJ2:DJ26)</f>
        <v>122861281</v>
      </c>
      <c r="DK27" s="4">
        <f>SUM(DK2:DK26)</f>
        <v>7709</v>
      </c>
      <c r="DL27" s="5">
        <f>(DK27/DJ27)*100000</f>
        <v>6.2745560987598683</v>
      </c>
      <c r="DP27" s="4">
        <f>SUM(DP2:DP26)</f>
        <v>123825677</v>
      </c>
      <c r="DQ27" s="4">
        <f>SUM(DQ2:DQ26)</f>
        <v>8013</v>
      </c>
      <c r="DR27" s="5">
        <f>(DQ27/DP27)*100000</f>
        <v>6.4711941772787558</v>
      </c>
      <c r="DV27" s="4">
        <f>SUM(DV2:DV26)</f>
        <v>123906482</v>
      </c>
      <c r="DW27" s="4">
        <f>SUM(DW2:DW26)</f>
        <v>9920</v>
      </c>
      <c r="DX27" s="5">
        <f>(DW27/DV27)*100000</f>
        <v>8.0060379730577775</v>
      </c>
      <c r="DZ27" s="5">
        <f>AVERAGE(H27,N27,T27,Z27,AF27,AL27,AR27,AX27,BD27,BJ27,BP27,BV27,CB27,CH27,CN27,CT27,CZ27,DF27,DL27,DR27,DX27)</f>
        <v>5.8512462043819777</v>
      </c>
      <c r="EB27" s="17"/>
    </row>
    <row r="28" spans="1:132" x14ac:dyDescent="0.3">
      <c r="F28" s="4"/>
      <c r="H28" s="5"/>
      <c r="L28" s="4"/>
      <c r="N28" s="5"/>
      <c r="R28" s="4"/>
      <c r="T28" s="5"/>
      <c r="X28" s="4"/>
      <c r="Z28" s="5"/>
      <c r="AD28" s="4"/>
      <c r="AF28" s="5"/>
      <c r="AJ28" s="4"/>
      <c r="AL28" s="5"/>
      <c r="AP28" s="4"/>
      <c r="AR28" s="5"/>
      <c r="AV28" s="4"/>
      <c r="AX28" s="5"/>
      <c r="BB28" s="4"/>
      <c r="BD28" s="5"/>
      <c r="BH28" s="4"/>
      <c r="BJ28" s="5"/>
      <c r="BN28" s="6"/>
      <c r="BP28" s="5"/>
      <c r="BT28" s="6"/>
      <c r="BV28" s="5"/>
      <c r="BZ28" s="6"/>
      <c r="CB28" s="5"/>
      <c r="CF28" s="6"/>
      <c r="CH28" s="5"/>
      <c r="CL28" s="6"/>
      <c r="CN28" s="5"/>
      <c r="CR28" s="6"/>
      <c r="CT28" s="5"/>
      <c r="CX28" s="6"/>
      <c r="CZ28" s="5"/>
      <c r="DD28" s="6"/>
      <c r="DF28" s="5"/>
      <c r="DJ28" s="6"/>
      <c r="DL28" s="5"/>
      <c r="DP28" s="6"/>
      <c r="DR28" s="5"/>
      <c r="DV28" s="6"/>
      <c r="DX28" s="5"/>
    </row>
    <row r="29" spans="1:132" x14ac:dyDescent="0.3">
      <c r="F29" s="4"/>
      <c r="H29" s="5"/>
      <c r="L29" s="4"/>
      <c r="N29" s="5"/>
      <c r="R29" s="4"/>
      <c r="T29" s="5"/>
      <c r="X29" s="4"/>
      <c r="Z29" s="5"/>
      <c r="AD29" s="4"/>
      <c r="AF29" s="5"/>
      <c r="AJ29" s="4"/>
      <c r="AL29" s="5"/>
      <c r="AP29" s="4"/>
      <c r="AR29" s="5"/>
      <c r="AV29" s="4"/>
      <c r="AX29" s="5"/>
      <c r="BB29" s="4"/>
      <c r="BD29" s="5"/>
      <c r="BH29" s="4"/>
      <c r="BJ29" s="5"/>
      <c r="BN29" s="6"/>
      <c r="BP29" s="5"/>
      <c r="BT29" s="6"/>
      <c r="BV29" s="5"/>
      <c r="BZ29" s="6"/>
      <c r="CB29" s="5"/>
      <c r="CF29" s="6"/>
      <c r="CH29" s="5"/>
      <c r="CL29" s="6"/>
      <c r="CN29" s="5"/>
      <c r="CR29" s="6"/>
      <c r="CT29" s="5"/>
      <c r="CX29" s="6"/>
      <c r="CZ29" s="5"/>
      <c r="DD29" s="6"/>
      <c r="DF29" s="5"/>
      <c r="DJ29" s="6"/>
      <c r="DL29" s="5"/>
      <c r="DP29" s="6"/>
      <c r="DR29" s="5"/>
      <c r="DV29" s="6"/>
      <c r="DX29" s="5"/>
    </row>
    <row r="30" spans="1:132" x14ac:dyDescent="0.3">
      <c r="F30" s="4"/>
      <c r="H30" s="5"/>
      <c r="L30" s="4"/>
      <c r="N30" s="5"/>
      <c r="R30" s="4"/>
      <c r="T30" s="5"/>
      <c r="X30" s="4"/>
      <c r="Z30" s="5"/>
      <c r="AD30" s="4"/>
      <c r="AF30" s="5"/>
      <c r="AJ30" s="4"/>
      <c r="AL30" s="5"/>
      <c r="AP30" s="4"/>
      <c r="AR30" s="5"/>
      <c r="AV30" s="4"/>
      <c r="AX30" s="5"/>
      <c r="BB30" s="4"/>
      <c r="BD30" s="5"/>
      <c r="BH30" s="4"/>
      <c r="BJ30" s="5"/>
      <c r="BN30" s="6"/>
      <c r="BP30" s="5"/>
      <c r="BT30" s="6"/>
      <c r="BV30" s="5"/>
      <c r="BZ30" s="6"/>
      <c r="CB30" s="5"/>
      <c r="CF30" s="6"/>
      <c r="CH30" s="5"/>
      <c r="CL30" s="6"/>
      <c r="CN30" s="5"/>
      <c r="CR30" s="6"/>
      <c r="CT30" s="5"/>
      <c r="CX30" s="6"/>
      <c r="CZ30" s="5"/>
      <c r="DD30" s="6"/>
      <c r="DF30" s="5"/>
      <c r="DJ30" s="6"/>
      <c r="DL30" s="5"/>
      <c r="DP30" s="6"/>
      <c r="DR30" s="5"/>
      <c r="DV30" s="6"/>
      <c r="DX30" s="5"/>
    </row>
    <row r="31" spans="1:132" x14ac:dyDescent="0.3">
      <c r="A31" s="3" t="s">
        <v>66</v>
      </c>
      <c r="B31" s="3" t="s">
        <v>67</v>
      </c>
      <c r="F31" s="4">
        <v>5160586</v>
      </c>
      <c r="G31" s="3">
        <v>405</v>
      </c>
      <c r="H31" s="16">
        <v>7.8479459503242452</v>
      </c>
      <c r="L31" s="4">
        <v>5273477</v>
      </c>
      <c r="M31" s="3">
        <v>486</v>
      </c>
      <c r="N31" s="16">
        <v>9.2159309692637326</v>
      </c>
      <c r="R31" s="4">
        <v>5396255</v>
      </c>
      <c r="S31" s="3">
        <v>499</v>
      </c>
      <c r="T31" s="16">
        <v>9.2471538131537514</v>
      </c>
      <c r="X31" s="4">
        <v>5510364</v>
      </c>
      <c r="Y31" s="3">
        <v>495</v>
      </c>
      <c r="Z31" s="16">
        <v>8.9830726246033841</v>
      </c>
      <c r="AD31" s="4">
        <v>5652404</v>
      </c>
      <c r="AE31" s="3">
        <v>504</v>
      </c>
      <c r="AF31" s="16">
        <v>8.9165601043379059</v>
      </c>
      <c r="AJ31" s="4">
        <v>5839077</v>
      </c>
      <c r="AK31" s="3">
        <v>527</v>
      </c>
      <c r="AL31" s="16">
        <v>9.0253990485140037</v>
      </c>
      <c r="AP31" s="4">
        <v>6029141</v>
      </c>
      <c r="AQ31" s="3">
        <v>542</v>
      </c>
      <c r="AR31" s="16">
        <v>8.9896719947335786</v>
      </c>
      <c r="AV31" s="4">
        <v>6167681</v>
      </c>
      <c r="AW31" s="3">
        <v>521</v>
      </c>
      <c r="AX31" s="16">
        <v>8.4472591886642636</v>
      </c>
      <c r="BB31" s="4">
        <v>6280362</v>
      </c>
      <c r="BC31" s="3">
        <v>471</v>
      </c>
      <c r="BD31" s="16">
        <v>7.4995677000784351</v>
      </c>
      <c r="BH31" s="4">
        <v>6343154</v>
      </c>
      <c r="BI31" s="3">
        <v>380</v>
      </c>
      <c r="BJ31" s="16">
        <v>5.9907106149401379</v>
      </c>
      <c r="BN31" s="6">
        <v>6407342</v>
      </c>
      <c r="BO31" s="3">
        <v>413</v>
      </c>
      <c r="BP31" s="16">
        <v>6.4457305384978669</v>
      </c>
      <c r="BT31" s="6">
        <v>6473416</v>
      </c>
      <c r="BU31" s="3">
        <v>397</v>
      </c>
      <c r="BV31" s="16">
        <v>6.1327744115317167</v>
      </c>
      <c r="BZ31" s="6">
        <v>6556344</v>
      </c>
      <c r="CA31" s="3">
        <v>384</v>
      </c>
      <c r="CB31" s="16">
        <v>5.8569226996020953</v>
      </c>
      <c r="CF31" s="6">
        <v>6634690</v>
      </c>
      <c r="CG31" s="3">
        <v>382</v>
      </c>
      <c r="CH31" s="16">
        <v>5.7576164070966396</v>
      </c>
      <c r="CL31" s="6">
        <v>6732873</v>
      </c>
      <c r="CM31" s="3">
        <v>322</v>
      </c>
      <c r="CN31" s="16">
        <v>4.7825051801808822</v>
      </c>
      <c r="CR31" s="6">
        <v>6832810</v>
      </c>
      <c r="CS31" s="3">
        <v>364</v>
      </c>
      <c r="CT31" s="16">
        <v>5.3272372567069777</v>
      </c>
      <c r="CX31" s="6">
        <v>6944767</v>
      </c>
      <c r="CY31" s="3">
        <v>420</v>
      </c>
      <c r="CZ31" s="16">
        <v>6.0477190955434503</v>
      </c>
      <c r="DD31" s="6">
        <v>7048088</v>
      </c>
      <c r="DE31" s="3">
        <v>441</v>
      </c>
      <c r="DF31" s="16">
        <v>6.2570160871998199</v>
      </c>
      <c r="DJ31" s="6">
        <v>7164228</v>
      </c>
      <c r="DK31" s="3">
        <v>420</v>
      </c>
      <c r="DL31" s="16">
        <v>5.8624599887105768</v>
      </c>
      <c r="DP31" s="6">
        <v>7291843</v>
      </c>
      <c r="DQ31" s="3">
        <v>414</v>
      </c>
      <c r="DR31" s="16">
        <v>5.6775769856811236</v>
      </c>
      <c r="DV31" s="6">
        <v>7279000</v>
      </c>
      <c r="DW31" s="3">
        <v>522</v>
      </c>
      <c r="DX31" s="16">
        <f>(DW31/DV31)*100000</f>
        <v>7.1713147410358564</v>
      </c>
    </row>
    <row r="32" spans="1:132" x14ac:dyDescent="0.3">
      <c r="A32" s="3" t="s">
        <v>68</v>
      </c>
      <c r="B32" s="3" t="s">
        <v>67</v>
      </c>
      <c r="F32" s="4">
        <v>33987977</v>
      </c>
      <c r="G32" s="3">
        <v>2041</v>
      </c>
      <c r="H32" s="16">
        <v>6.0050646733108</v>
      </c>
      <c r="L32" s="4">
        <v>34479458</v>
      </c>
      <c r="M32" s="3">
        <v>2150</v>
      </c>
      <c r="N32" s="16">
        <v>6.2355968588601369</v>
      </c>
      <c r="R32" s="4">
        <v>34871843</v>
      </c>
      <c r="S32" s="3">
        <v>2442</v>
      </c>
      <c r="T32" s="16">
        <v>7.0027844527746925</v>
      </c>
      <c r="X32" s="4">
        <v>35253159</v>
      </c>
      <c r="Y32" s="3">
        <v>2446</v>
      </c>
      <c r="Z32" s="16">
        <v>6.9383852947759941</v>
      </c>
      <c r="AD32" s="4">
        <v>35574576</v>
      </c>
      <c r="AE32" s="3">
        <v>2452</v>
      </c>
      <c r="AF32" s="16">
        <v>6.8925628235175589</v>
      </c>
      <c r="AJ32" s="4">
        <v>35827943</v>
      </c>
      <c r="AK32" s="3">
        <v>2504</v>
      </c>
      <c r="AL32" s="16">
        <v>6.9889583111148745</v>
      </c>
      <c r="AP32" s="4">
        <v>36021202</v>
      </c>
      <c r="AQ32" s="3">
        <v>2555</v>
      </c>
      <c r="AR32" s="16">
        <v>7.0930448128854788</v>
      </c>
      <c r="AV32" s="4">
        <v>36250311</v>
      </c>
      <c r="AW32" s="3">
        <v>2335</v>
      </c>
      <c r="AX32" s="16">
        <v>6.4413240482267859</v>
      </c>
      <c r="BB32" s="4">
        <v>36604337</v>
      </c>
      <c r="BC32" s="3">
        <v>2213</v>
      </c>
      <c r="BD32" s="16">
        <v>6.0457316847454443</v>
      </c>
      <c r="BH32" s="4">
        <v>36961229</v>
      </c>
      <c r="BI32" s="3">
        <v>2078</v>
      </c>
      <c r="BJ32" s="16">
        <v>5.622107425053426</v>
      </c>
      <c r="BN32" s="6">
        <v>37319550</v>
      </c>
      <c r="BO32" s="3">
        <v>1905</v>
      </c>
      <c r="BP32" s="16">
        <v>5.1045631579158917</v>
      </c>
      <c r="BT32" s="6">
        <v>37636311</v>
      </c>
      <c r="BU32" s="3">
        <v>1875</v>
      </c>
      <c r="BV32" s="16">
        <v>4.9818910253983182</v>
      </c>
      <c r="BZ32" s="6">
        <v>37944551</v>
      </c>
      <c r="CA32" s="3">
        <v>1963</v>
      </c>
      <c r="CB32" s="16">
        <v>5.1733383272870981</v>
      </c>
      <c r="CF32" s="6">
        <v>38253768</v>
      </c>
      <c r="CG32" s="3">
        <v>1843</v>
      </c>
      <c r="CH32" s="16">
        <v>4.8178260504952091</v>
      </c>
      <c r="CL32" s="6">
        <v>38586706</v>
      </c>
      <c r="CM32" s="4">
        <v>1813</v>
      </c>
      <c r="CN32" s="16">
        <v>4.6985093778152507</v>
      </c>
      <c r="CR32" s="6">
        <v>38904296</v>
      </c>
      <c r="CS32" s="4">
        <v>1987</v>
      </c>
      <c r="CT32" s="16">
        <v>5.1074051050814546</v>
      </c>
      <c r="CX32" s="6">
        <v>39149186</v>
      </c>
      <c r="CY32" s="4">
        <v>2074</v>
      </c>
      <c r="CZ32" s="16">
        <v>5.2976835840213887</v>
      </c>
      <c r="DD32" s="6">
        <v>39337785</v>
      </c>
      <c r="DE32" s="4">
        <v>2022</v>
      </c>
      <c r="DF32" s="16">
        <v>5.140096220465896</v>
      </c>
      <c r="DJ32" s="6">
        <v>39437463</v>
      </c>
      <c r="DK32" s="3">
        <v>1890</v>
      </c>
      <c r="DL32" s="16">
        <v>4.7923975231368203</v>
      </c>
      <c r="DP32" s="6">
        <v>39437610</v>
      </c>
      <c r="DQ32" s="3">
        <v>1794</v>
      </c>
      <c r="DR32" s="16">
        <v>4.5489572010068562</v>
      </c>
      <c r="DV32" s="6">
        <v>39370000</v>
      </c>
      <c r="DW32" s="3">
        <v>2324</v>
      </c>
      <c r="DX32" s="16">
        <f t="shared" ref="DX32:DX55" si="0">(DW32/DV32)*100000</f>
        <v>5.9029718059436114</v>
      </c>
    </row>
    <row r="33" spans="1:128" x14ac:dyDescent="0.3">
      <c r="A33" s="3" t="s">
        <v>69</v>
      </c>
      <c r="B33" s="3" t="s">
        <v>67</v>
      </c>
      <c r="F33" s="4">
        <v>4326921</v>
      </c>
      <c r="G33" s="3">
        <v>149</v>
      </c>
      <c r="H33" s="16">
        <v>3.4435572084630155</v>
      </c>
      <c r="L33" s="4">
        <v>4425687</v>
      </c>
      <c r="M33" s="3">
        <v>166</v>
      </c>
      <c r="N33" s="16">
        <v>3.7508300971126065</v>
      </c>
      <c r="R33" s="4">
        <v>4490406</v>
      </c>
      <c r="S33" s="3">
        <v>184</v>
      </c>
      <c r="T33" s="16">
        <v>4.0976250254431337</v>
      </c>
      <c r="X33" s="4">
        <v>4528732</v>
      </c>
      <c r="Y33" s="3">
        <v>190</v>
      </c>
      <c r="Z33" s="16">
        <v>4.1954348369477374</v>
      </c>
      <c r="AD33" s="4">
        <v>4575013</v>
      </c>
      <c r="AE33" s="3">
        <v>217</v>
      </c>
      <c r="AF33" s="16">
        <v>4.7431559210870002</v>
      </c>
      <c r="AJ33" s="4">
        <v>4631888</v>
      </c>
      <c r="AK33" s="3">
        <v>178</v>
      </c>
      <c r="AL33" s="16">
        <v>3.8429253902512324</v>
      </c>
      <c r="AP33" s="4">
        <v>4720423</v>
      </c>
      <c r="AQ33" s="3">
        <v>177</v>
      </c>
      <c r="AR33" s="16">
        <v>3.7496639602001767</v>
      </c>
      <c r="AV33" s="4">
        <v>4803868</v>
      </c>
      <c r="AW33" s="3">
        <v>167</v>
      </c>
      <c r="AX33" s="16">
        <v>3.4763652956326023</v>
      </c>
      <c r="BB33" s="4">
        <v>4889730</v>
      </c>
      <c r="BC33" s="3">
        <v>190</v>
      </c>
      <c r="BD33" s="16">
        <v>3.8856951201804599</v>
      </c>
      <c r="BH33" s="4">
        <v>4972195</v>
      </c>
      <c r="BI33" s="3">
        <v>190</v>
      </c>
      <c r="BJ33" s="16">
        <v>3.8212499710892271</v>
      </c>
      <c r="BN33" s="6">
        <v>5047539</v>
      </c>
      <c r="BO33" s="3">
        <v>168</v>
      </c>
      <c r="BP33" s="16">
        <v>3.3283546694735793</v>
      </c>
      <c r="BT33" s="6">
        <v>5121900</v>
      </c>
      <c r="BU33" s="3">
        <v>189</v>
      </c>
      <c r="BV33" s="16">
        <v>3.6900369003690039</v>
      </c>
      <c r="BZ33" s="6">
        <v>5193660</v>
      </c>
      <c r="CA33" s="3">
        <v>204</v>
      </c>
      <c r="CB33" s="16">
        <v>3.9278658980372221</v>
      </c>
      <c r="CF33" s="6">
        <v>5270774</v>
      </c>
      <c r="CG33" s="3">
        <v>183</v>
      </c>
      <c r="CH33" s="16">
        <v>3.4719758426371534</v>
      </c>
      <c r="CL33" s="6">
        <v>5352637</v>
      </c>
      <c r="CM33" s="3">
        <v>177</v>
      </c>
      <c r="CN33" s="16">
        <v>3.3067813117160756</v>
      </c>
      <c r="CR33" s="6">
        <v>5454328</v>
      </c>
      <c r="CS33" s="3">
        <v>206</v>
      </c>
      <c r="CT33" s="16">
        <v>3.7768172357804666</v>
      </c>
      <c r="CX33" s="6">
        <v>5543844</v>
      </c>
      <c r="CY33" s="3">
        <v>235</v>
      </c>
      <c r="CZ33" s="16">
        <v>4.2389360162371084</v>
      </c>
      <c r="DD33" s="6">
        <v>5617421</v>
      </c>
      <c r="DE33" s="3">
        <v>261</v>
      </c>
      <c r="DF33" s="16">
        <v>4.6462602678346521</v>
      </c>
      <c r="DJ33" s="6">
        <v>5697155</v>
      </c>
      <c r="DK33" s="3">
        <v>263</v>
      </c>
      <c r="DL33" s="16">
        <v>4.6163392079028913</v>
      </c>
      <c r="DP33" s="6">
        <v>5758486</v>
      </c>
      <c r="DQ33" s="3">
        <v>250</v>
      </c>
      <c r="DR33" s="16">
        <v>4.3414189076781637</v>
      </c>
      <c r="DV33" s="6">
        <v>5842076</v>
      </c>
      <c r="DW33" s="3">
        <v>332</v>
      </c>
      <c r="DX33" s="16">
        <f t="shared" si="0"/>
        <v>5.6829113486370257</v>
      </c>
    </row>
    <row r="34" spans="1:128" x14ac:dyDescent="0.3">
      <c r="A34" s="3" t="s">
        <v>70</v>
      </c>
      <c r="B34" s="3" t="s">
        <v>67</v>
      </c>
      <c r="F34" s="4">
        <v>3411777</v>
      </c>
      <c r="G34" s="3">
        <v>94</v>
      </c>
      <c r="H34" s="16">
        <v>2.7551624857075949</v>
      </c>
      <c r="L34" s="4">
        <v>3432835</v>
      </c>
      <c r="M34" s="3">
        <v>107</v>
      </c>
      <c r="N34" s="16">
        <v>3.1169572670984769</v>
      </c>
      <c r="R34" s="4">
        <v>3458749</v>
      </c>
      <c r="S34" s="3">
        <v>98</v>
      </c>
      <c r="T34" s="16">
        <v>2.8333943862361797</v>
      </c>
      <c r="X34" s="4">
        <v>3484336</v>
      </c>
      <c r="Y34" s="3">
        <v>103</v>
      </c>
      <c r="Z34" s="16">
        <v>2.9560868986228654</v>
      </c>
      <c r="AD34" s="4">
        <v>3496094</v>
      </c>
      <c r="AE34" s="3">
        <v>108</v>
      </c>
      <c r="AF34" s="16">
        <v>3.0891617902722293</v>
      </c>
      <c r="AJ34" s="4">
        <v>3506956</v>
      </c>
      <c r="AK34" s="3">
        <v>105</v>
      </c>
      <c r="AL34" s="16">
        <v>2.9940495403991378</v>
      </c>
      <c r="AP34" s="4">
        <v>3517460</v>
      </c>
      <c r="AQ34" s="3">
        <v>132</v>
      </c>
      <c r="AR34" s="16">
        <v>3.7527079199194873</v>
      </c>
      <c r="AV34" s="4">
        <v>3527270</v>
      </c>
      <c r="AW34" s="3">
        <v>105</v>
      </c>
      <c r="AX34" s="16">
        <v>2.9768064253657931</v>
      </c>
      <c r="BB34" s="4">
        <v>3545579</v>
      </c>
      <c r="BC34" s="3">
        <v>127</v>
      </c>
      <c r="BD34" s="16">
        <v>3.5819255472801479</v>
      </c>
      <c r="BH34" s="4">
        <v>3561807</v>
      </c>
      <c r="BI34" s="3">
        <v>111</v>
      </c>
      <c r="BJ34" s="16">
        <v>3.1163956946572342</v>
      </c>
      <c r="BN34" s="6">
        <v>3579173</v>
      </c>
      <c r="BO34" s="3">
        <v>141</v>
      </c>
      <c r="BP34" s="16">
        <v>3.9394575227294126</v>
      </c>
      <c r="BT34" s="6">
        <v>3588632</v>
      </c>
      <c r="BU34" s="3">
        <v>134</v>
      </c>
      <c r="BV34" s="16">
        <v>3.7340134067800763</v>
      </c>
      <c r="BZ34" s="6">
        <v>3595211</v>
      </c>
      <c r="CA34" s="3">
        <v>150</v>
      </c>
      <c r="CB34" s="16">
        <v>4.1722168740582957</v>
      </c>
      <c r="CF34" s="6">
        <v>3595792</v>
      </c>
      <c r="CG34" s="3">
        <v>99</v>
      </c>
      <c r="CH34" s="16">
        <v>2.7532182061698784</v>
      </c>
      <c r="CL34" s="6">
        <v>3595697</v>
      </c>
      <c r="CM34" s="3">
        <v>100</v>
      </c>
      <c r="CN34" s="16">
        <v>2.7811019671568546</v>
      </c>
      <c r="CR34" s="6">
        <v>3588561</v>
      </c>
      <c r="CS34" s="3">
        <v>124</v>
      </c>
      <c r="CT34" s="16">
        <v>3.4554240543772279</v>
      </c>
      <c r="CX34" s="6">
        <v>3579830</v>
      </c>
      <c r="CY34" s="3">
        <v>88</v>
      </c>
      <c r="CZ34" s="16">
        <v>2.4582172896478323</v>
      </c>
      <c r="DD34" s="6">
        <v>3575324</v>
      </c>
      <c r="DE34" s="3">
        <v>109</v>
      </c>
      <c r="DF34" s="16">
        <v>3.0486747494772501</v>
      </c>
      <c r="DJ34" s="6">
        <v>3574561</v>
      </c>
      <c r="DK34" s="3">
        <v>92</v>
      </c>
      <c r="DL34" s="16">
        <v>2.5737426218212529</v>
      </c>
      <c r="DP34" s="6">
        <v>3566022</v>
      </c>
      <c r="DQ34" s="3">
        <v>106</v>
      </c>
      <c r="DR34" s="16">
        <v>2.9724998892323153</v>
      </c>
      <c r="DV34" s="6">
        <v>3565000</v>
      </c>
      <c r="DW34" s="3">
        <v>151</v>
      </c>
      <c r="DX34" s="16">
        <f t="shared" si="0"/>
        <v>4.2356241234221592</v>
      </c>
    </row>
    <row r="35" spans="1:128" x14ac:dyDescent="0.3">
      <c r="A35" s="3" t="s">
        <v>71</v>
      </c>
      <c r="B35" s="3" t="s">
        <v>67</v>
      </c>
      <c r="F35" s="4">
        <v>786373</v>
      </c>
      <c r="G35" s="3">
        <v>23</v>
      </c>
      <c r="H35" s="16">
        <v>2.9248206639851571</v>
      </c>
      <c r="L35" s="4">
        <v>795699</v>
      </c>
      <c r="M35" s="3">
        <v>31</v>
      </c>
      <c r="N35" s="16">
        <v>3.8959455774105534</v>
      </c>
      <c r="R35" s="4">
        <v>806169</v>
      </c>
      <c r="S35" s="3">
        <v>38</v>
      </c>
      <c r="T35" s="16">
        <v>4.7136518521550697</v>
      </c>
      <c r="X35" s="4">
        <v>818003</v>
      </c>
      <c r="Y35" s="3">
        <v>25</v>
      </c>
      <c r="Z35" s="16">
        <v>3.056223510182726</v>
      </c>
      <c r="AD35" s="4">
        <v>830803</v>
      </c>
      <c r="AE35" s="3">
        <v>35</v>
      </c>
      <c r="AF35" s="16">
        <v>4.21279172078098</v>
      </c>
      <c r="AJ35" s="4">
        <v>845150</v>
      </c>
      <c r="AK35" s="3">
        <v>55</v>
      </c>
      <c r="AL35" s="16">
        <v>6.5077205229840853</v>
      </c>
      <c r="AP35" s="4">
        <v>859268</v>
      </c>
      <c r="AQ35" s="3">
        <v>49</v>
      </c>
      <c r="AR35" s="16">
        <v>5.7025281984200502</v>
      </c>
      <c r="AV35" s="4">
        <v>871749</v>
      </c>
      <c r="AW35" s="3">
        <v>48</v>
      </c>
      <c r="AX35" s="16">
        <v>5.5061720747600509</v>
      </c>
      <c r="BB35" s="4">
        <v>883874</v>
      </c>
      <c r="BC35" s="3">
        <v>65</v>
      </c>
      <c r="BD35" s="16">
        <v>7.3539893695255216</v>
      </c>
      <c r="BH35" s="4">
        <v>891730</v>
      </c>
      <c r="BI35" s="3">
        <v>45</v>
      </c>
      <c r="BJ35" s="16">
        <v>5.0463705381673831</v>
      </c>
      <c r="BN35" s="6">
        <v>899647</v>
      </c>
      <c r="BO35" s="3">
        <v>61</v>
      </c>
      <c r="BP35" s="16">
        <v>6.780437215930248</v>
      </c>
      <c r="BT35" s="6">
        <v>907590</v>
      </c>
      <c r="BU35" s="3">
        <v>49</v>
      </c>
      <c r="BV35" s="16">
        <v>5.3989136063641077</v>
      </c>
      <c r="BZ35" s="6">
        <v>915518</v>
      </c>
      <c r="CA35" s="3">
        <v>62</v>
      </c>
      <c r="CB35" s="16">
        <v>6.7721224487120946</v>
      </c>
      <c r="CF35" s="6">
        <v>924062</v>
      </c>
      <c r="CG35" s="3">
        <v>52</v>
      </c>
      <c r="CH35" s="16">
        <v>5.6273280364304563</v>
      </c>
      <c r="CL35" s="6">
        <v>933131</v>
      </c>
      <c r="CM35" s="3">
        <v>57</v>
      </c>
      <c r="CN35" s="16">
        <v>6.1084670855431877</v>
      </c>
      <c r="CR35" s="6">
        <v>942065</v>
      </c>
      <c r="CS35" s="3">
        <v>65</v>
      </c>
      <c r="CT35" s="16">
        <v>6.8997362177769048</v>
      </c>
      <c r="CX35" s="6">
        <v>949989</v>
      </c>
      <c r="CY35" s="3">
        <v>63</v>
      </c>
      <c r="CZ35" s="16">
        <v>6.631655734961142</v>
      </c>
      <c r="DD35" s="6">
        <v>957942</v>
      </c>
      <c r="DE35" s="3">
        <v>63</v>
      </c>
      <c r="DF35" s="16">
        <v>6.5765985832127623</v>
      </c>
      <c r="DJ35" s="6">
        <v>966985</v>
      </c>
      <c r="DK35" s="3">
        <v>57</v>
      </c>
      <c r="DL35" s="16">
        <v>5.8946105678991918</v>
      </c>
      <c r="DP35" s="6">
        <v>976668</v>
      </c>
      <c r="DQ35" s="3">
        <v>53</v>
      </c>
      <c r="DR35" s="16">
        <v>5.4266137520631368</v>
      </c>
      <c r="DV35" s="6">
        <v>973764</v>
      </c>
      <c r="DW35" s="3">
        <v>85</v>
      </c>
      <c r="DX35" s="16">
        <f t="shared" si="0"/>
        <v>8.7290144223857116</v>
      </c>
    </row>
    <row r="36" spans="1:128" x14ac:dyDescent="0.3">
      <c r="A36" s="3" t="s">
        <v>72</v>
      </c>
      <c r="B36" s="3" t="s">
        <v>67</v>
      </c>
      <c r="F36" s="4">
        <v>8227303</v>
      </c>
      <c r="G36" s="3">
        <v>653</v>
      </c>
      <c r="H36" s="16">
        <v>7.9369873699801747</v>
      </c>
      <c r="L36" s="4">
        <v>8377038</v>
      </c>
      <c r="M36" s="3">
        <v>665</v>
      </c>
      <c r="N36" s="16">
        <v>7.9383667592292166</v>
      </c>
      <c r="R36" s="4">
        <v>8508256</v>
      </c>
      <c r="S36" s="3">
        <v>656</v>
      </c>
      <c r="T36" s="16">
        <v>7.7101582274910392</v>
      </c>
      <c r="X36" s="4">
        <v>8622793</v>
      </c>
      <c r="Y36" s="3">
        <v>706</v>
      </c>
      <c r="Z36" s="16">
        <v>8.1876023232843469</v>
      </c>
      <c r="AD36" s="4">
        <v>8769252</v>
      </c>
      <c r="AE36" s="3">
        <v>647</v>
      </c>
      <c r="AF36" s="16">
        <v>7.3780523127856288</v>
      </c>
      <c r="AJ36" s="4">
        <v>8925922</v>
      </c>
      <c r="AK36" s="3">
        <v>638</v>
      </c>
      <c r="AL36" s="16">
        <v>7.1477209861345417</v>
      </c>
      <c r="AP36" s="4">
        <v>9155813</v>
      </c>
      <c r="AQ36" s="3">
        <v>677</v>
      </c>
      <c r="AR36" s="16">
        <v>7.3942095584521006</v>
      </c>
      <c r="AV36" s="4">
        <v>9349988</v>
      </c>
      <c r="AW36" s="3">
        <v>766</v>
      </c>
      <c r="AX36" s="16">
        <v>8.1925238834531129</v>
      </c>
      <c r="BB36" s="4">
        <v>9504843</v>
      </c>
      <c r="BC36" s="3">
        <v>708</v>
      </c>
      <c r="BD36" s="16">
        <v>7.4488342416597515</v>
      </c>
      <c r="BH36" s="4">
        <v>9620846</v>
      </c>
      <c r="BI36" s="3">
        <v>629</v>
      </c>
      <c r="BJ36" s="16">
        <v>6.5378865850258903</v>
      </c>
      <c r="BN36" s="6">
        <v>9712209</v>
      </c>
      <c r="BO36" s="3">
        <v>633</v>
      </c>
      <c r="BP36" s="16">
        <v>6.5175697928246814</v>
      </c>
      <c r="BT36" s="6">
        <v>9803630</v>
      </c>
      <c r="BU36" s="3">
        <v>613</v>
      </c>
      <c r="BV36" s="16">
        <v>6.2527859578543863</v>
      </c>
      <c r="BZ36" s="6">
        <v>9903580</v>
      </c>
      <c r="CA36" s="3">
        <v>654</v>
      </c>
      <c r="CB36" s="16">
        <v>6.6036726113183306</v>
      </c>
      <c r="CF36" s="6">
        <v>9975592</v>
      </c>
      <c r="CG36" s="3">
        <v>628</v>
      </c>
      <c r="CH36" s="16">
        <v>6.2953657286705385</v>
      </c>
      <c r="CL36" s="6">
        <v>10071204</v>
      </c>
      <c r="CM36" s="3">
        <v>658</v>
      </c>
      <c r="CN36" s="16">
        <v>6.5334790160143719</v>
      </c>
      <c r="CR36" s="6">
        <v>10183353</v>
      </c>
      <c r="CS36" s="3">
        <v>738</v>
      </c>
      <c r="CT36" s="16">
        <v>7.247121846802326</v>
      </c>
      <c r="CX36" s="6">
        <v>10308442</v>
      </c>
      <c r="CY36" s="3">
        <v>806</v>
      </c>
      <c r="CZ36" s="16">
        <v>7.8188343107522948</v>
      </c>
      <c r="DD36" s="6">
        <v>10417031</v>
      </c>
      <c r="DE36" s="3">
        <v>810</v>
      </c>
      <c r="DF36" s="16">
        <v>7.7757280361362078</v>
      </c>
      <c r="DJ36" s="6">
        <v>10519389</v>
      </c>
      <c r="DK36" s="3">
        <v>794</v>
      </c>
      <c r="DL36" s="16">
        <v>7.5479669018799482</v>
      </c>
      <c r="DP36" s="6">
        <v>10628020</v>
      </c>
      <c r="DQ36" s="3">
        <v>849</v>
      </c>
      <c r="DR36" s="16">
        <v>7.9883176734706938</v>
      </c>
      <c r="DV36" s="6">
        <v>10620000</v>
      </c>
      <c r="DW36" s="3">
        <v>1086</v>
      </c>
      <c r="DX36" s="16">
        <f t="shared" si="0"/>
        <v>10.225988700564971</v>
      </c>
    </row>
    <row r="37" spans="1:128" x14ac:dyDescent="0.3">
      <c r="A37" s="3" t="s">
        <v>73</v>
      </c>
      <c r="B37" s="3" t="s">
        <v>67</v>
      </c>
      <c r="F37" s="4">
        <v>1213519</v>
      </c>
      <c r="G37" s="3">
        <v>35</v>
      </c>
      <c r="H37" s="16">
        <v>2.8841740425984264</v>
      </c>
      <c r="L37" s="4">
        <v>1225948</v>
      </c>
      <c r="M37" s="3">
        <v>32</v>
      </c>
      <c r="N37" s="16">
        <v>2.6102249035032479</v>
      </c>
      <c r="R37" s="4">
        <v>1239613</v>
      </c>
      <c r="S37" s="3">
        <v>38</v>
      </c>
      <c r="T37" s="16">
        <v>3.0654728532211264</v>
      </c>
      <c r="X37" s="4">
        <v>1251154</v>
      </c>
      <c r="Y37" s="3">
        <v>20</v>
      </c>
      <c r="Z37" s="16">
        <v>1.5985242424193984</v>
      </c>
      <c r="AD37" s="4">
        <v>1273569</v>
      </c>
      <c r="AE37" s="3">
        <v>31</v>
      </c>
      <c r="AF37" s="16">
        <v>2.4341044733343855</v>
      </c>
      <c r="AJ37" s="4">
        <v>1292729</v>
      </c>
      <c r="AK37" s="3">
        <v>25</v>
      </c>
      <c r="AL37" s="16">
        <v>1.9338933372733189</v>
      </c>
      <c r="AP37" s="4">
        <v>1309731</v>
      </c>
      <c r="AQ37" s="3">
        <v>28</v>
      </c>
      <c r="AR37" s="16">
        <v>2.1378435724587721</v>
      </c>
      <c r="AV37" s="4">
        <v>1315675</v>
      </c>
      <c r="AW37" s="3">
        <v>23</v>
      </c>
      <c r="AX37" s="16">
        <v>1.7481520892317632</v>
      </c>
      <c r="BB37" s="4">
        <v>1332213</v>
      </c>
      <c r="BC37" s="3">
        <v>27</v>
      </c>
      <c r="BD37" s="16">
        <v>2.0267029371429346</v>
      </c>
      <c r="BH37" s="4">
        <v>1346717</v>
      </c>
      <c r="BI37" s="3">
        <v>23</v>
      </c>
      <c r="BJ37" s="16">
        <v>1.7078569588116881</v>
      </c>
      <c r="BN37" s="6">
        <v>1364004</v>
      </c>
      <c r="BO37" s="3">
        <v>24</v>
      </c>
      <c r="BP37" s="16">
        <v>1.7595256318896426</v>
      </c>
      <c r="BT37" s="6">
        <v>1379562</v>
      </c>
      <c r="BU37" s="3">
        <v>16</v>
      </c>
      <c r="BV37" s="16">
        <v>1.159788396607039</v>
      </c>
      <c r="BZ37" s="6">
        <v>1395199</v>
      </c>
      <c r="CA37" s="3">
        <v>22</v>
      </c>
      <c r="CB37" s="16">
        <v>1.5768359925716691</v>
      </c>
      <c r="CF37" s="6">
        <v>1408822</v>
      </c>
      <c r="CG37" s="3">
        <v>33</v>
      </c>
      <c r="CH37" s="16">
        <v>2.3423825011250536</v>
      </c>
      <c r="CL37" s="6">
        <v>1415335</v>
      </c>
      <c r="CM37" s="3">
        <v>30</v>
      </c>
      <c r="CN37" s="16">
        <v>2.1196395199723033</v>
      </c>
      <c r="CR37" s="6">
        <v>1422999</v>
      </c>
      <c r="CS37" s="3">
        <v>31</v>
      </c>
      <c r="CT37" s="16">
        <v>2.1784976658451622</v>
      </c>
      <c r="CX37" s="6">
        <v>1428885</v>
      </c>
      <c r="CY37" s="3">
        <v>39</v>
      </c>
      <c r="CZ37" s="16">
        <v>2.7294008965032175</v>
      </c>
      <c r="DD37" s="6">
        <v>1425763</v>
      </c>
      <c r="DE37" s="3">
        <v>35</v>
      </c>
      <c r="DF37" s="16">
        <v>2.4548259423200069</v>
      </c>
      <c r="DJ37" s="6">
        <v>1423102</v>
      </c>
      <c r="DK37" s="3">
        <v>40</v>
      </c>
      <c r="DL37" s="16">
        <v>2.8107612806390545</v>
      </c>
      <c r="DP37" s="6">
        <v>1415615</v>
      </c>
      <c r="DQ37" s="3">
        <v>35</v>
      </c>
      <c r="DR37" s="16">
        <v>2.4724236462597529</v>
      </c>
      <c r="DV37" s="6">
        <v>1416000</v>
      </c>
      <c r="DW37" s="3">
        <v>45</v>
      </c>
      <c r="DX37" s="16">
        <f t="shared" si="0"/>
        <v>3.1779661016949152</v>
      </c>
    </row>
    <row r="38" spans="1:128" x14ac:dyDescent="0.3">
      <c r="A38" s="3" t="s">
        <v>74</v>
      </c>
      <c r="B38" s="3" t="s">
        <v>67</v>
      </c>
      <c r="F38" s="4">
        <v>12434161</v>
      </c>
      <c r="G38" s="3">
        <v>984</v>
      </c>
      <c r="H38" s="16">
        <v>7.9136823143917798</v>
      </c>
      <c r="L38" s="4">
        <v>12488445</v>
      </c>
      <c r="M38" s="3">
        <v>1065</v>
      </c>
      <c r="N38" s="16">
        <v>8.5278831752071618</v>
      </c>
      <c r="R38" s="4">
        <v>12525556</v>
      </c>
      <c r="S38" s="3">
        <v>998</v>
      </c>
      <c r="T38" s="16">
        <v>7.9677101758995761</v>
      </c>
      <c r="X38" s="4">
        <v>12556006</v>
      </c>
      <c r="Y38" s="3">
        <v>953</v>
      </c>
      <c r="Z38" s="16">
        <v>7.5899931873240583</v>
      </c>
      <c r="AD38" s="4">
        <v>12589773</v>
      </c>
      <c r="AE38" s="3">
        <v>860</v>
      </c>
      <c r="AF38" s="16">
        <v>6.8309412727298575</v>
      </c>
      <c r="AJ38" s="4">
        <v>12609903</v>
      </c>
      <c r="AK38" s="3">
        <v>853</v>
      </c>
      <c r="AL38" s="16">
        <v>6.7645246755664967</v>
      </c>
      <c r="AP38" s="4">
        <v>12643955</v>
      </c>
      <c r="AQ38" s="3">
        <v>859</v>
      </c>
      <c r="AR38" s="16">
        <v>6.7937603384384078</v>
      </c>
      <c r="AV38" s="4">
        <v>12695866</v>
      </c>
      <c r="AW38" s="3">
        <v>852</v>
      </c>
      <c r="AX38" s="16">
        <v>6.7108458769177304</v>
      </c>
      <c r="BB38" s="4">
        <v>12747038</v>
      </c>
      <c r="BC38" s="3">
        <v>862</v>
      </c>
      <c r="BD38" s="16">
        <v>6.7623553016787117</v>
      </c>
      <c r="BH38" s="4">
        <v>12796778</v>
      </c>
      <c r="BI38" s="3">
        <v>865</v>
      </c>
      <c r="BJ38" s="16">
        <v>6.7595139964137845</v>
      </c>
      <c r="BN38" s="6">
        <v>12840545</v>
      </c>
      <c r="BO38" s="3">
        <v>773</v>
      </c>
      <c r="BP38" s="16">
        <v>6.0199936996443686</v>
      </c>
      <c r="BT38" s="6">
        <v>12867783</v>
      </c>
      <c r="BU38" s="3">
        <v>802</v>
      </c>
      <c r="BV38" s="16">
        <v>6.2326198693279178</v>
      </c>
      <c r="BZ38" s="6">
        <v>12883029</v>
      </c>
      <c r="CA38" s="3">
        <v>819</v>
      </c>
      <c r="CB38" s="16">
        <v>6.357200624169983</v>
      </c>
      <c r="CF38" s="6">
        <v>12895778</v>
      </c>
      <c r="CG38" s="3">
        <v>783</v>
      </c>
      <c r="CH38" s="16">
        <v>6.0717546471411028</v>
      </c>
      <c r="CL38" s="6">
        <v>12885092</v>
      </c>
      <c r="CM38" s="3">
        <v>792</v>
      </c>
      <c r="CN38" s="16">
        <v>6.1466383010691734</v>
      </c>
      <c r="CR38" s="6">
        <v>12859585</v>
      </c>
      <c r="CS38" s="3">
        <v>863</v>
      </c>
      <c r="CT38" s="16">
        <v>6.7109475150247855</v>
      </c>
      <c r="CX38" s="6">
        <v>12821709</v>
      </c>
      <c r="CY38" s="4">
        <v>1157</v>
      </c>
      <c r="CZ38" s="16">
        <v>9.0237580653249889</v>
      </c>
      <c r="DD38" s="6">
        <v>12779893</v>
      </c>
      <c r="DE38" s="4">
        <v>1120</v>
      </c>
      <c r="DF38" s="16">
        <v>8.7637666449946021</v>
      </c>
      <c r="DJ38" s="6">
        <v>12724685</v>
      </c>
      <c r="DK38" s="3">
        <v>994</v>
      </c>
      <c r="DL38" s="16">
        <v>7.8115882632851026</v>
      </c>
      <c r="DP38" s="6">
        <v>12667017</v>
      </c>
      <c r="DQ38" s="3">
        <v>979</v>
      </c>
      <c r="DR38" s="16">
        <v>7.7287336079204758</v>
      </c>
      <c r="DV38" s="6">
        <v>12670000</v>
      </c>
      <c r="DW38" s="3">
        <v>1349</v>
      </c>
      <c r="DX38" s="16">
        <f t="shared" si="0"/>
        <v>10.647198105761641</v>
      </c>
    </row>
    <row r="39" spans="1:128" x14ac:dyDescent="0.3">
      <c r="A39" s="3" t="s">
        <v>75</v>
      </c>
      <c r="B39" s="3" t="s">
        <v>67</v>
      </c>
      <c r="F39" s="4">
        <v>1277072</v>
      </c>
      <c r="G39" s="3">
        <v>18</v>
      </c>
      <c r="H39" s="16">
        <v>1.4094741721688362</v>
      </c>
      <c r="L39" s="4">
        <v>1285692</v>
      </c>
      <c r="M39" s="3">
        <v>18</v>
      </c>
      <c r="N39" s="16">
        <v>1.4000242670872962</v>
      </c>
      <c r="R39" s="4">
        <v>1295960</v>
      </c>
      <c r="S39" s="3">
        <v>11</v>
      </c>
      <c r="T39" s="16">
        <v>0.84879162937127683</v>
      </c>
      <c r="X39" s="4">
        <v>1306513</v>
      </c>
      <c r="Y39" s="3">
        <v>16</v>
      </c>
      <c r="Z39" s="16">
        <v>1.2246338153543057</v>
      </c>
      <c r="AD39" s="4">
        <v>1313688</v>
      </c>
      <c r="AE39" s="3">
        <v>21</v>
      </c>
      <c r="AF39" s="16">
        <v>1.5985530810968815</v>
      </c>
      <c r="AJ39" s="4">
        <v>1318787</v>
      </c>
      <c r="AK39" s="3">
        <v>22</v>
      </c>
      <c r="AL39" s="16">
        <v>1.6681996410337681</v>
      </c>
      <c r="AP39" s="4">
        <v>1323619</v>
      </c>
      <c r="AQ39" s="3">
        <v>20</v>
      </c>
      <c r="AR39" s="16">
        <v>1.5110088326021309</v>
      </c>
      <c r="AV39" s="4">
        <v>1327040</v>
      </c>
      <c r="AW39" s="3">
        <v>26</v>
      </c>
      <c r="AX39" s="16">
        <v>1.9592476489028214</v>
      </c>
      <c r="BB39" s="4">
        <v>1330509</v>
      </c>
      <c r="BC39" s="3">
        <v>34</v>
      </c>
      <c r="BD39" s="16">
        <v>2.555413003594865</v>
      </c>
      <c r="BH39" s="4">
        <v>1329590</v>
      </c>
      <c r="BI39" s="3">
        <v>30</v>
      </c>
      <c r="BJ39" s="16">
        <v>2.2563346595567055</v>
      </c>
      <c r="BN39" s="6">
        <v>1327651</v>
      </c>
      <c r="BO39" s="3">
        <v>26</v>
      </c>
      <c r="BP39" s="16">
        <v>1.9583459809844603</v>
      </c>
      <c r="BT39" s="6">
        <v>1328473</v>
      </c>
      <c r="BU39" s="3">
        <v>29</v>
      </c>
      <c r="BV39" s="16">
        <v>2.182957425555506</v>
      </c>
      <c r="BZ39" s="6">
        <v>1328094</v>
      </c>
      <c r="CA39" s="3">
        <v>29</v>
      </c>
      <c r="CB39" s="16">
        <v>2.1835803790996722</v>
      </c>
      <c r="CF39" s="6">
        <v>1328543</v>
      </c>
      <c r="CG39" s="3">
        <v>30</v>
      </c>
      <c r="CH39" s="16">
        <v>2.2581128348875423</v>
      </c>
      <c r="CL39" s="6">
        <v>1331217</v>
      </c>
      <c r="CM39" s="3">
        <v>23</v>
      </c>
      <c r="CN39" s="16">
        <v>1.7277423590594172</v>
      </c>
      <c r="CR39" s="6">
        <v>1329098</v>
      </c>
      <c r="CS39" s="3">
        <v>22</v>
      </c>
      <c r="CT39" s="16">
        <v>1.6552579268044945</v>
      </c>
      <c r="CX39" s="6">
        <v>1332348</v>
      </c>
      <c r="CY39" s="3">
        <v>19</v>
      </c>
      <c r="CZ39" s="16">
        <v>1.4260538537979568</v>
      </c>
      <c r="DD39" s="6">
        <v>1335743</v>
      </c>
      <c r="DE39" s="3">
        <v>19</v>
      </c>
      <c r="DF39" s="16">
        <v>1.4224293146211511</v>
      </c>
      <c r="DJ39" s="6">
        <v>1340123</v>
      </c>
      <c r="DK39" s="3">
        <v>19</v>
      </c>
      <c r="DL39" s="16">
        <v>1.417780308225439</v>
      </c>
      <c r="DP39" s="6">
        <v>1345770</v>
      </c>
      <c r="DQ39" s="3">
        <v>23</v>
      </c>
      <c r="DR39" s="16">
        <v>1.7090587544677025</v>
      </c>
      <c r="DV39" s="6">
        <v>1344000</v>
      </c>
      <c r="DW39" s="3">
        <v>21</v>
      </c>
      <c r="DX39" s="16">
        <f t="shared" si="0"/>
        <v>1.5625</v>
      </c>
    </row>
    <row r="40" spans="1:128" x14ac:dyDescent="0.3">
      <c r="A40" s="3" t="s">
        <v>76</v>
      </c>
      <c r="B40" s="3" t="s">
        <v>67</v>
      </c>
      <c r="F40" s="4">
        <v>5311034</v>
      </c>
      <c r="G40" s="3">
        <v>494</v>
      </c>
      <c r="H40" s="16">
        <v>9.3013902754152955</v>
      </c>
      <c r="L40" s="4">
        <v>5374691</v>
      </c>
      <c r="M40" s="3">
        <v>496</v>
      </c>
      <c r="N40" s="16">
        <v>9.2284375045932876</v>
      </c>
      <c r="R40" s="4">
        <v>5440389</v>
      </c>
      <c r="S40" s="3">
        <v>536</v>
      </c>
      <c r="T40" s="16">
        <v>9.8522366691058298</v>
      </c>
      <c r="X40" s="4">
        <v>5496269</v>
      </c>
      <c r="Y40" s="3">
        <v>545</v>
      </c>
      <c r="Z40" s="16">
        <v>9.9158174390663927</v>
      </c>
      <c r="AD40" s="4">
        <v>5546935</v>
      </c>
      <c r="AE40" s="3">
        <v>530</v>
      </c>
      <c r="AF40" s="16">
        <v>9.5548262238515509</v>
      </c>
      <c r="AJ40" s="4">
        <v>5592379</v>
      </c>
      <c r="AK40" s="3">
        <v>566</v>
      </c>
      <c r="AL40" s="16">
        <v>10.120916339897564</v>
      </c>
      <c r="AP40" s="4">
        <v>5627367</v>
      </c>
      <c r="AQ40" s="3">
        <v>556</v>
      </c>
      <c r="AR40" s="16">
        <v>9.8802868197506939</v>
      </c>
      <c r="AV40" s="4">
        <v>5653408</v>
      </c>
      <c r="AW40" s="3">
        <v>568</v>
      </c>
      <c r="AX40" s="16">
        <v>10.047037114604146</v>
      </c>
      <c r="BB40" s="4">
        <v>5684965</v>
      </c>
      <c r="BC40" s="3">
        <v>515</v>
      </c>
      <c r="BD40" s="16">
        <v>9.0589827729810111</v>
      </c>
      <c r="BH40" s="4">
        <v>5730388</v>
      </c>
      <c r="BI40" s="3">
        <v>441</v>
      </c>
      <c r="BJ40" s="16">
        <v>7.6958139658256997</v>
      </c>
      <c r="BN40" s="6">
        <v>5788784</v>
      </c>
      <c r="BO40" s="3">
        <v>432</v>
      </c>
      <c r="BP40" s="16">
        <v>7.4627071937733387</v>
      </c>
      <c r="BT40" s="6">
        <v>5840241</v>
      </c>
      <c r="BU40" s="3">
        <v>409</v>
      </c>
      <c r="BV40" s="16">
        <v>7.0031356582716366</v>
      </c>
      <c r="BZ40" s="6">
        <v>5888375</v>
      </c>
      <c r="CA40" s="3">
        <v>398</v>
      </c>
      <c r="CB40" s="16">
        <v>6.7590803914492534</v>
      </c>
      <c r="CF40" s="6">
        <v>5925197</v>
      </c>
      <c r="CG40" s="3">
        <v>411</v>
      </c>
      <c r="CH40" s="16">
        <v>6.9364782301753012</v>
      </c>
      <c r="CL40" s="6">
        <v>5960064</v>
      </c>
      <c r="CM40" s="3">
        <v>387</v>
      </c>
      <c r="CN40" s="16">
        <v>6.4932188647638682</v>
      </c>
      <c r="CR40" s="6">
        <v>5988528</v>
      </c>
      <c r="CS40" s="3">
        <v>596</v>
      </c>
      <c r="CT40" s="16">
        <v>9.9523622499552484</v>
      </c>
      <c r="CX40" s="6">
        <v>6007014</v>
      </c>
      <c r="CY40" s="3">
        <v>579</v>
      </c>
      <c r="CZ40" s="16">
        <v>9.6387323219156791</v>
      </c>
      <c r="DD40" s="6">
        <v>6028186</v>
      </c>
      <c r="DE40" s="3">
        <v>587</v>
      </c>
      <c r="DF40" s="16">
        <v>9.7375893842691639</v>
      </c>
      <c r="DJ40" s="6">
        <v>6042153</v>
      </c>
      <c r="DK40" s="3">
        <v>541</v>
      </c>
      <c r="DL40" s="16">
        <v>8.9537620116537937</v>
      </c>
      <c r="DP40" s="6">
        <v>6054954</v>
      </c>
      <c r="DQ40" s="3">
        <v>578</v>
      </c>
      <c r="DR40" s="16">
        <v>9.5459024131314614</v>
      </c>
      <c r="DV40" s="6">
        <v>6046000</v>
      </c>
      <c r="DW40" s="3">
        <v>641</v>
      </c>
      <c r="DX40" s="16">
        <f t="shared" si="0"/>
        <v>10.602050942772081</v>
      </c>
    </row>
    <row r="41" spans="1:128" x14ac:dyDescent="0.3">
      <c r="A41" s="3" t="s">
        <v>77</v>
      </c>
      <c r="B41" s="3" t="s">
        <v>67</v>
      </c>
      <c r="F41" s="4">
        <v>6361104</v>
      </c>
      <c r="G41" s="3">
        <v>122</v>
      </c>
      <c r="H41" s="16">
        <v>1.9179060741657421</v>
      </c>
      <c r="L41" s="4">
        <v>6397634</v>
      </c>
      <c r="M41" s="3">
        <v>155</v>
      </c>
      <c r="N41" s="16">
        <v>2.4227706680313377</v>
      </c>
      <c r="R41" s="4">
        <v>6417206</v>
      </c>
      <c r="S41" s="3">
        <v>184</v>
      </c>
      <c r="T41" s="16">
        <v>2.8672914660991089</v>
      </c>
      <c r="X41" s="4">
        <v>6422565</v>
      </c>
      <c r="Y41" s="3">
        <v>140</v>
      </c>
      <c r="Z41" s="16">
        <v>2.1798144510799036</v>
      </c>
      <c r="AD41" s="4">
        <v>6412281</v>
      </c>
      <c r="AE41" s="3">
        <v>174</v>
      </c>
      <c r="AF41" s="16">
        <v>2.713542965443966</v>
      </c>
      <c r="AJ41" s="4">
        <v>6403290</v>
      </c>
      <c r="AK41" s="3">
        <v>178</v>
      </c>
      <c r="AL41" s="16">
        <v>2.7798209982680775</v>
      </c>
      <c r="AP41" s="4">
        <v>6410084</v>
      </c>
      <c r="AQ41" s="3">
        <v>181</v>
      </c>
      <c r="AR41" s="16">
        <v>2.8236759455882328</v>
      </c>
      <c r="AV41" s="4">
        <v>6431559</v>
      </c>
      <c r="AW41" s="3">
        <v>186</v>
      </c>
      <c r="AX41" s="16">
        <v>2.8919893294922741</v>
      </c>
      <c r="BB41" s="4">
        <v>6468967</v>
      </c>
      <c r="BC41" s="3">
        <v>165</v>
      </c>
      <c r="BD41" s="16">
        <v>2.550639074213858</v>
      </c>
      <c r="BH41" s="4">
        <v>6517613</v>
      </c>
      <c r="BI41" s="3">
        <v>174</v>
      </c>
      <c r="BJ41" s="16">
        <v>2.6696890410645739</v>
      </c>
      <c r="BN41" s="6">
        <v>6566440</v>
      </c>
      <c r="BO41" s="3">
        <v>203</v>
      </c>
      <c r="BP41" s="16">
        <v>3.091477269266147</v>
      </c>
      <c r="BT41" s="6">
        <v>6614218</v>
      </c>
      <c r="BU41" s="3">
        <v>198</v>
      </c>
      <c r="BV41" s="16">
        <v>2.9935511650810422</v>
      </c>
      <c r="BZ41" s="6">
        <v>6664269</v>
      </c>
      <c r="CA41" s="3">
        <v>130</v>
      </c>
      <c r="CB41" s="16">
        <v>1.9507015698195858</v>
      </c>
      <c r="CF41" s="6">
        <v>6715158</v>
      </c>
      <c r="CG41" s="3">
        <v>138</v>
      </c>
      <c r="CH41" s="16">
        <v>2.0550521670525099</v>
      </c>
      <c r="CL41" s="6">
        <v>6764864</v>
      </c>
      <c r="CM41" s="3">
        <v>133</v>
      </c>
      <c r="CN41" s="16">
        <v>1.9660410024503081</v>
      </c>
      <c r="CR41" s="6">
        <v>6797484</v>
      </c>
      <c r="CS41" s="3">
        <v>144</v>
      </c>
      <c r="CT41" s="16">
        <v>2.1184308782484815</v>
      </c>
      <c r="CX41" s="6">
        <v>6827280</v>
      </c>
      <c r="CY41" s="3">
        <v>137</v>
      </c>
      <c r="CZ41" s="16">
        <v>2.0066556520312631</v>
      </c>
      <c r="DD41" s="6">
        <v>6863560</v>
      </c>
      <c r="DE41" s="3">
        <v>171</v>
      </c>
      <c r="DF41" s="16">
        <v>2.4914184475694832</v>
      </c>
      <c r="DJ41" s="6">
        <v>6885720</v>
      </c>
      <c r="DK41" s="3">
        <v>158</v>
      </c>
      <c r="DL41" s="16">
        <v>2.2946039048930249</v>
      </c>
      <c r="DP41" s="6">
        <v>6894883</v>
      </c>
      <c r="DQ41" s="3">
        <v>157</v>
      </c>
      <c r="DR41" s="16">
        <v>2.2770509666371423</v>
      </c>
      <c r="DV41" s="6">
        <v>6890000</v>
      </c>
      <c r="DW41" s="3">
        <v>177</v>
      </c>
      <c r="DX41" s="16">
        <f t="shared" si="0"/>
        <v>2.5689404934687956</v>
      </c>
    </row>
    <row r="42" spans="1:128" x14ac:dyDescent="0.3">
      <c r="A42" s="3" t="s">
        <v>78</v>
      </c>
      <c r="B42" s="3" t="s">
        <v>67</v>
      </c>
      <c r="F42" s="4">
        <v>9952450</v>
      </c>
      <c r="G42" s="3">
        <v>715</v>
      </c>
      <c r="H42" s="16">
        <v>7.1841606840526699</v>
      </c>
      <c r="L42" s="4">
        <v>9991120</v>
      </c>
      <c r="M42" s="3">
        <v>675</v>
      </c>
      <c r="N42" s="16">
        <v>6.7559993274027343</v>
      </c>
      <c r="R42" s="4">
        <v>10015710</v>
      </c>
      <c r="S42" s="3">
        <v>690</v>
      </c>
      <c r="T42" s="16">
        <v>6.889177102771546</v>
      </c>
      <c r="X42" s="4">
        <v>10041152</v>
      </c>
      <c r="Y42" s="3">
        <v>644</v>
      </c>
      <c r="Z42" s="16">
        <v>6.4136067256027989</v>
      </c>
      <c r="AD42" s="4">
        <v>10055315</v>
      </c>
      <c r="AE42" s="3">
        <v>666</v>
      </c>
      <c r="AF42" s="16">
        <v>6.6233628682940315</v>
      </c>
      <c r="AJ42" s="4">
        <v>10051137</v>
      </c>
      <c r="AK42" s="3">
        <v>670</v>
      </c>
      <c r="AL42" s="16">
        <v>6.6659125231304683</v>
      </c>
      <c r="AP42" s="4">
        <v>10036081</v>
      </c>
      <c r="AQ42" s="3">
        <v>713</v>
      </c>
      <c r="AR42" s="16">
        <v>7.1043667343856622</v>
      </c>
      <c r="AV42" s="4">
        <v>10001284</v>
      </c>
      <c r="AW42" s="3">
        <v>694</v>
      </c>
      <c r="AX42" s="16">
        <v>6.9391090184020365</v>
      </c>
      <c r="BB42" s="4">
        <v>9946889</v>
      </c>
      <c r="BC42" s="3">
        <v>635</v>
      </c>
      <c r="BD42" s="16">
        <v>6.3839055608240924</v>
      </c>
      <c r="BH42" s="4">
        <v>9901591</v>
      </c>
      <c r="BI42" s="3">
        <v>648</v>
      </c>
      <c r="BJ42" s="16">
        <v>6.544402813648837</v>
      </c>
      <c r="BN42" s="6">
        <v>9877597</v>
      </c>
      <c r="BO42" s="3">
        <v>600</v>
      </c>
      <c r="BP42" s="16">
        <v>6.0743518894322177</v>
      </c>
      <c r="BT42" s="6">
        <v>9883053</v>
      </c>
      <c r="BU42" s="3">
        <v>649</v>
      </c>
      <c r="BV42" s="16">
        <v>6.5667967175730011</v>
      </c>
      <c r="BZ42" s="6">
        <v>9898289</v>
      </c>
      <c r="CA42" s="3">
        <v>723</v>
      </c>
      <c r="CB42" s="16">
        <v>7.3042926913934316</v>
      </c>
      <c r="CF42" s="6">
        <v>9914802</v>
      </c>
      <c r="CG42" s="3">
        <v>627</v>
      </c>
      <c r="CH42" s="16">
        <v>6.3238781772949171</v>
      </c>
      <c r="CL42" s="6">
        <v>9932033</v>
      </c>
      <c r="CM42" s="3">
        <v>589</v>
      </c>
      <c r="CN42" s="16">
        <v>5.930306514285645</v>
      </c>
      <c r="CR42" s="6">
        <v>9934483</v>
      </c>
      <c r="CS42" s="3">
        <v>597</v>
      </c>
      <c r="CT42" s="16">
        <v>6.0093715999111375</v>
      </c>
      <c r="CX42" s="6">
        <v>9954117</v>
      </c>
      <c r="CY42" s="3">
        <v>624</v>
      </c>
      <c r="CZ42" s="16">
        <v>6.2687629651128267</v>
      </c>
      <c r="DD42" s="6">
        <v>9976752</v>
      </c>
      <c r="DE42" s="3">
        <v>588</v>
      </c>
      <c r="DF42" s="16">
        <v>5.893701677660224</v>
      </c>
      <c r="DJ42" s="6">
        <v>9987286</v>
      </c>
      <c r="DK42" s="3">
        <v>613</v>
      </c>
      <c r="DL42" s="16">
        <v>6.1378036035014922</v>
      </c>
      <c r="DP42" s="6">
        <v>9984795</v>
      </c>
      <c r="DQ42" s="3">
        <v>612</v>
      </c>
      <c r="DR42" s="16">
        <v>6.1293196304981725</v>
      </c>
      <c r="DV42" s="6">
        <v>9987000</v>
      </c>
      <c r="DW42" s="3">
        <v>806</v>
      </c>
      <c r="DX42" s="16">
        <f t="shared" si="0"/>
        <v>8.0704916391308714</v>
      </c>
    </row>
    <row r="43" spans="1:128" x14ac:dyDescent="0.3">
      <c r="A43" s="3" t="s">
        <v>79</v>
      </c>
      <c r="B43" s="3" t="s">
        <v>67</v>
      </c>
      <c r="F43" s="4">
        <v>4933692</v>
      </c>
      <c r="G43" s="3">
        <v>137</v>
      </c>
      <c r="H43" s="16">
        <v>2.7768251443341012</v>
      </c>
      <c r="L43" s="4">
        <v>4982796</v>
      </c>
      <c r="M43" s="3">
        <v>123</v>
      </c>
      <c r="N43" s="16">
        <v>2.4684935927539478</v>
      </c>
      <c r="R43" s="4">
        <v>5018935</v>
      </c>
      <c r="S43" s="3">
        <v>124</v>
      </c>
      <c r="T43" s="16">
        <v>2.4706436724125735</v>
      </c>
      <c r="X43" s="4">
        <v>5053572</v>
      </c>
      <c r="Y43" s="3">
        <v>130</v>
      </c>
      <c r="Z43" s="16">
        <v>2.5724378716678027</v>
      </c>
      <c r="AD43" s="4">
        <v>5087713</v>
      </c>
      <c r="AE43" s="3">
        <v>132</v>
      </c>
      <c r="AF43" s="16">
        <v>2.5944859704153909</v>
      </c>
      <c r="AJ43" s="4">
        <v>5119598</v>
      </c>
      <c r="AK43" s="3">
        <v>139</v>
      </c>
      <c r="AL43" s="16">
        <v>2.715056924391329</v>
      </c>
      <c r="AP43" s="4">
        <v>5163555</v>
      </c>
      <c r="AQ43" s="3">
        <v>125</v>
      </c>
      <c r="AR43" s="16">
        <v>2.4208127927367871</v>
      </c>
      <c r="AV43" s="4">
        <v>5207203</v>
      </c>
      <c r="AW43" s="3">
        <v>117</v>
      </c>
      <c r="AX43" s="16">
        <v>2.2468876285406965</v>
      </c>
      <c r="BB43" s="4">
        <v>5247018</v>
      </c>
      <c r="BC43" s="3">
        <v>127</v>
      </c>
      <c r="BD43" s="16">
        <v>2.4204224189816008</v>
      </c>
      <c r="BH43" s="4">
        <v>5281203</v>
      </c>
      <c r="BI43" s="3">
        <v>90</v>
      </c>
      <c r="BJ43" s="16">
        <v>1.7041571778248252</v>
      </c>
      <c r="BN43" s="6">
        <v>5310934</v>
      </c>
      <c r="BO43" s="3">
        <v>109</v>
      </c>
      <c r="BP43" s="16">
        <v>2.0523696961777342</v>
      </c>
      <c r="BT43" s="6">
        <v>5346620</v>
      </c>
      <c r="BU43" s="3">
        <v>99</v>
      </c>
      <c r="BV43" s="16">
        <v>1.851637109052074</v>
      </c>
      <c r="BZ43" s="6">
        <v>5377500</v>
      </c>
      <c r="CA43" s="3">
        <v>103</v>
      </c>
      <c r="CB43" s="16">
        <v>1.9153881915388191</v>
      </c>
      <c r="CF43" s="6">
        <v>5414722</v>
      </c>
      <c r="CG43" s="3">
        <v>128</v>
      </c>
      <c r="CH43" s="16">
        <v>2.3639256087385463</v>
      </c>
      <c r="CL43" s="6">
        <v>5452665</v>
      </c>
      <c r="CM43" s="3">
        <v>101</v>
      </c>
      <c r="CN43" s="16">
        <v>1.8523052489012253</v>
      </c>
      <c r="CR43" s="6">
        <v>5484002</v>
      </c>
      <c r="CS43" s="3">
        <v>147</v>
      </c>
      <c r="CT43" s="16">
        <v>2.6805241865338489</v>
      </c>
      <c r="CX43" s="6">
        <v>5525360</v>
      </c>
      <c r="CY43" s="3">
        <v>129</v>
      </c>
      <c r="CZ43" s="16">
        <v>2.3346895043942837</v>
      </c>
      <c r="DD43" s="6">
        <v>5569283</v>
      </c>
      <c r="DE43" s="3">
        <v>122</v>
      </c>
      <c r="DF43" s="16">
        <v>2.1905871904875367</v>
      </c>
      <c r="DJ43" s="6">
        <v>5608762</v>
      </c>
      <c r="DK43" s="3">
        <v>122</v>
      </c>
      <c r="DL43" s="16">
        <v>2.1751680673916991</v>
      </c>
      <c r="DP43" s="6">
        <v>5640053</v>
      </c>
      <c r="DQ43" s="3">
        <v>154</v>
      </c>
      <c r="DR43" s="16">
        <v>2.7304707952212506</v>
      </c>
      <c r="DV43" s="6">
        <v>6890000</v>
      </c>
      <c r="DW43" s="3">
        <v>197</v>
      </c>
      <c r="DX43" s="16">
        <f t="shared" si="0"/>
        <v>2.8592162554426706</v>
      </c>
    </row>
    <row r="44" spans="1:128" x14ac:dyDescent="0.3">
      <c r="A44" s="3" t="s">
        <v>80</v>
      </c>
      <c r="B44" s="3" t="s">
        <v>67</v>
      </c>
      <c r="F44" s="4">
        <v>2018741</v>
      </c>
      <c r="G44" s="3">
        <v>130</v>
      </c>
      <c r="H44" s="16">
        <v>6.4396571922797419</v>
      </c>
      <c r="L44" s="4">
        <v>2098399</v>
      </c>
      <c r="M44" s="3">
        <v>173</v>
      </c>
      <c r="N44" s="16">
        <v>8.2443805968264368</v>
      </c>
      <c r="R44" s="4">
        <v>2173791</v>
      </c>
      <c r="S44" s="3">
        <v>174</v>
      </c>
      <c r="T44" s="16">
        <v>8.0044493697876202</v>
      </c>
      <c r="X44" s="4">
        <v>2248850</v>
      </c>
      <c r="Y44" s="3">
        <v>183</v>
      </c>
      <c r="Z44" s="16">
        <v>8.1374924961647075</v>
      </c>
      <c r="AD44" s="4">
        <v>2346222</v>
      </c>
      <c r="AE44" s="3">
        <v>186</v>
      </c>
      <c r="AF44" s="16">
        <v>7.9276385610568818</v>
      </c>
      <c r="AJ44" s="4">
        <v>2432143</v>
      </c>
      <c r="AK44" s="3">
        <v>188</v>
      </c>
      <c r="AL44" s="16">
        <v>7.7298086502315044</v>
      </c>
      <c r="AP44" s="4">
        <v>2522658</v>
      </c>
      <c r="AQ44" s="3">
        <v>216</v>
      </c>
      <c r="AR44" s="16">
        <v>8.5623972809631752</v>
      </c>
      <c r="AV44" s="4">
        <v>2601072</v>
      </c>
      <c r="AW44" s="3">
        <v>185</v>
      </c>
      <c r="AX44" s="16">
        <v>7.1124520966739873</v>
      </c>
      <c r="BB44" s="4">
        <v>2653630</v>
      </c>
      <c r="BC44" s="3">
        <v>161</v>
      </c>
      <c r="BD44" s="16">
        <v>6.0671608325199822</v>
      </c>
      <c r="BH44" s="4">
        <v>2684665</v>
      </c>
      <c r="BI44" s="3">
        <v>150</v>
      </c>
      <c r="BJ44" s="16">
        <v>5.5872892893526753</v>
      </c>
      <c r="BN44" s="6">
        <v>2702483</v>
      </c>
      <c r="BO44" s="3">
        <v>162</v>
      </c>
      <c r="BP44" s="16">
        <v>5.9944872918719563</v>
      </c>
      <c r="BT44" s="6">
        <v>2713114</v>
      </c>
      <c r="BU44" s="3">
        <v>127</v>
      </c>
      <c r="BV44" s="16">
        <v>4.6809680684261705</v>
      </c>
      <c r="BZ44" s="6">
        <v>2744670</v>
      </c>
      <c r="CA44" s="3">
        <v>122</v>
      </c>
      <c r="CB44" s="16">
        <v>4.4449788134821313</v>
      </c>
      <c r="CF44" s="6">
        <v>2776956</v>
      </c>
      <c r="CG44" s="3">
        <v>150</v>
      </c>
      <c r="CH44" s="16">
        <v>5.4015980087549096</v>
      </c>
      <c r="CL44" s="6">
        <v>2818935</v>
      </c>
      <c r="CM44" s="3">
        <v>176</v>
      </c>
      <c r="CN44" s="16">
        <v>6.2434926665566959</v>
      </c>
      <c r="CR44" s="6">
        <v>2868531</v>
      </c>
      <c r="CS44" s="3">
        <v>191</v>
      </c>
      <c r="CT44" s="16">
        <v>6.6584603757114706</v>
      </c>
      <c r="CX44" s="6">
        <v>2919555</v>
      </c>
      <c r="CY44" s="3">
        <v>211</v>
      </c>
      <c r="CZ44" s="16">
        <v>7.2271287918878047</v>
      </c>
      <c r="DD44" s="6">
        <v>2972097</v>
      </c>
      <c r="DE44" s="3">
        <v>221</v>
      </c>
      <c r="DF44" s="16">
        <v>7.4358272963500189</v>
      </c>
      <c r="DJ44" s="6">
        <v>3030725</v>
      </c>
      <c r="DK44" s="3">
        <v>225</v>
      </c>
      <c r="DL44" s="16">
        <v>7.4239662127048804</v>
      </c>
      <c r="DP44" s="6">
        <v>3090771</v>
      </c>
      <c r="DQ44" s="3">
        <v>166</v>
      </c>
      <c r="DR44" s="16">
        <v>5.3708281849415567</v>
      </c>
      <c r="DV44" s="6">
        <v>3104614</v>
      </c>
      <c r="DW44" s="3">
        <v>212</v>
      </c>
      <c r="DX44" s="16">
        <f t="shared" si="0"/>
        <v>6.828546157428911</v>
      </c>
    </row>
    <row r="45" spans="1:128" x14ac:dyDescent="0.3">
      <c r="A45" s="3" t="s">
        <v>81</v>
      </c>
      <c r="B45" s="3" t="s">
        <v>67</v>
      </c>
      <c r="F45" s="4">
        <v>1239882</v>
      </c>
      <c r="G45" s="3">
        <v>15</v>
      </c>
      <c r="H45" s="16">
        <v>1.2097925447744222</v>
      </c>
      <c r="L45" s="4">
        <v>1255517</v>
      </c>
      <c r="M45" s="3">
        <v>19</v>
      </c>
      <c r="N45" s="16">
        <v>1.5133208072849671</v>
      </c>
      <c r="R45" s="4">
        <v>1269089</v>
      </c>
      <c r="T45" s="16"/>
      <c r="X45" s="4">
        <v>1279840</v>
      </c>
      <c r="Y45" s="3">
        <v>20</v>
      </c>
      <c r="Z45" s="16">
        <v>1.5626953369171148</v>
      </c>
      <c r="AD45" s="4">
        <v>1290121</v>
      </c>
      <c r="AE45" s="3">
        <v>23</v>
      </c>
      <c r="AF45" s="16">
        <v>1.7827785145734392</v>
      </c>
      <c r="AJ45" s="4">
        <v>1298492</v>
      </c>
      <c r="AK45" s="3">
        <v>18</v>
      </c>
      <c r="AL45" s="16">
        <v>1.3862234037637506</v>
      </c>
      <c r="AP45" s="4">
        <v>1308389</v>
      </c>
      <c r="AQ45" s="3">
        <v>19</v>
      </c>
      <c r="AR45" s="16">
        <v>1.4521675128727007</v>
      </c>
      <c r="AV45" s="4">
        <v>1312540</v>
      </c>
      <c r="AW45" s="3">
        <v>13</v>
      </c>
      <c r="AX45" s="16">
        <v>0.99044600545507178</v>
      </c>
      <c r="BB45" s="4">
        <v>1315906</v>
      </c>
      <c r="BC45" s="3">
        <v>20</v>
      </c>
      <c r="BD45" s="16">
        <v>1.5198654007201122</v>
      </c>
      <c r="BH45" s="4">
        <v>1316102</v>
      </c>
      <c r="BI45" s="3">
        <v>15</v>
      </c>
      <c r="BJ45" s="16">
        <v>1.1397292914986832</v>
      </c>
      <c r="BN45" s="6">
        <v>1316807</v>
      </c>
      <c r="BO45" s="3">
        <v>18</v>
      </c>
      <c r="BP45" s="16">
        <v>1.3669429157044275</v>
      </c>
      <c r="BT45" s="6">
        <v>1320444</v>
      </c>
      <c r="BU45" s="3">
        <v>21</v>
      </c>
      <c r="BV45" s="16">
        <v>1.5903741468778683</v>
      </c>
      <c r="BZ45" s="6">
        <v>1324677</v>
      </c>
      <c r="CA45" s="3">
        <v>16</v>
      </c>
      <c r="CB45" s="16">
        <v>1.2078416096905134</v>
      </c>
      <c r="CF45" s="6">
        <v>1327272</v>
      </c>
      <c r="CG45" s="3">
        <v>22</v>
      </c>
      <c r="CH45" s="16">
        <v>1.6575351548137836</v>
      </c>
      <c r="CL45" s="6">
        <v>1334257</v>
      </c>
      <c r="CM45" s="3">
        <v>17</v>
      </c>
      <c r="CN45" s="16">
        <v>1.2741173552021836</v>
      </c>
      <c r="CR45" s="6">
        <v>1337480</v>
      </c>
      <c r="CS45" s="3">
        <v>18</v>
      </c>
      <c r="CT45" s="16">
        <v>1.3458145168525883</v>
      </c>
      <c r="CX45" s="6">
        <v>1343694</v>
      </c>
      <c r="CY45" s="3">
        <v>18</v>
      </c>
      <c r="CZ45" s="16">
        <v>1.3395907103849536</v>
      </c>
      <c r="DD45" s="6">
        <v>1350395</v>
      </c>
      <c r="DE45" s="3">
        <v>17</v>
      </c>
      <c r="DF45" s="16">
        <v>1.258890917102033</v>
      </c>
      <c r="DJ45" s="6">
        <v>1355064</v>
      </c>
      <c r="DK45" s="3">
        <v>21</v>
      </c>
      <c r="DL45" s="16">
        <v>1.5497422999946866</v>
      </c>
      <c r="DP45" s="6">
        <v>1360783</v>
      </c>
      <c r="DQ45" s="3">
        <v>38</v>
      </c>
      <c r="DR45" s="16">
        <v>2.7925099005499043</v>
      </c>
      <c r="DV45" s="6">
        <v>1360000</v>
      </c>
      <c r="DW45" s="3">
        <v>14</v>
      </c>
      <c r="DX45" s="16">
        <f t="shared" si="0"/>
        <v>1.0294117647058825</v>
      </c>
    </row>
    <row r="46" spans="1:128" x14ac:dyDescent="0.3">
      <c r="A46" s="3" t="s">
        <v>82</v>
      </c>
      <c r="B46" s="3" t="s">
        <v>67</v>
      </c>
      <c r="F46" s="4">
        <v>8430621</v>
      </c>
      <c r="G46" s="3">
        <v>317</v>
      </c>
      <c r="H46" s="16">
        <v>3.7601026069135357</v>
      </c>
      <c r="L46" s="4">
        <v>8492671</v>
      </c>
      <c r="M46" s="3">
        <v>354</v>
      </c>
      <c r="N46" s="16">
        <v>4.1682999376756733</v>
      </c>
      <c r="R46" s="4">
        <v>8552643</v>
      </c>
      <c r="S46" s="3">
        <v>333</v>
      </c>
      <c r="T46" s="16">
        <v>3.8935332621740439</v>
      </c>
      <c r="X46" s="4">
        <v>8601402</v>
      </c>
      <c r="Y46" s="3">
        <v>419</v>
      </c>
      <c r="Z46" s="16">
        <v>4.8712988882510082</v>
      </c>
      <c r="AD46" s="4">
        <v>8634561</v>
      </c>
      <c r="AE46" s="3">
        <v>399</v>
      </c>
      <c r="AF46" s="16">
        <v>4.6209645168990061</v>
      </c>
      <c r="AJ46" s="4">
        <v>8651974</v>
      </c>
      <c r="AK46" s="3">
        <v>424</v>
      </c>
      <c r="AL46" s="16">
        <v>4.9006157438753286</v>
      </c>
      <c r="AP46" s="4">
        <v>8661679</v>
      </c>
      <c r="AQ46" s="3">
        <v>445</v>
      </c>
      <c r="AR46" s="16">
        <v>5.1375720573343804</v>
      </c>
      <c r="AV46" s="4">
        <v>8677885</v>
      </c>
      <c r="AW46" s="3">
        <v>401</v>
      </c>
      <c r="AX46" s="16">
        <v>4.6209416234485703</v>
      </c>
      <c r="BB46" s="4">
        <v>8711090</v>
      </c>
      <c r="BC46" s="3">
        <v>367</v>
      </c>
      <c r="BD46" s="16">
        <v>4.2130204142076364</v>
      </c>
      <c r="BH46" s="4">
        <v>8755602</v>
      </c>
      <c r="BI46" s="3">
        <v>323</v>
      </c>
      <c r="BJ46" s="16">
        <v>3.6890667255089942</v>
      </c>
      <c r="BN46" s="6">
        <v>8799451</v>
      </c>
      <c r="BO46" s="3">
        <v>385</v>
      </c>
      <c r="BP46" s="16">
        <v>4.3752729573697273</v>
      </c>
      <c r="BT46" s="6">
        <v>8828552</v>
      </c>
      <c r="BU46" s="3">
        <v>408</v>
      </c>
      <c r="BV46" s="16">
        <v>4.6213693933048132</v>
      </c>
      <c r="BZ46" s="6">
        <v>8845671</v>
      </c>
      <c r="CA46" s="3">
        <v>399</v>
      </c>
      <c r="CB46" s="16">
        <v>4.5106809873439788</v>
      </c>
      <c r="CF46" s="6">
        <v>8857821</v>
      </c>
      <c r="CG46" s="3">
        <v>417</v>
      </c>
      <c r="CH46" s="16">
        <v>4.7077040730446011</v>
      </c>
      <c r="CL46" s="6">
        <v>8867277</v>
      </c>
      <c r="CM46" s="3">
        <v>372</v>
      </c>
      <c r="CN46" s="16">
        <v>4.1951999469510195</v>
      </c>
      <c r="CR46" s="6">
        <v>8870312</v>
      </c>
      <c r="CS46" s="3">
        <v>388</v>
      </c>
      <c r="CT46" s="16">
        <v>4.3741415183592194</v>
      </c>
      <c r="CX46" s="6">
        <v>8873584</v>
      </c>
      <c r="CY46" s="3">
        <v>395</v>
      </c>
      <c r="CZ46" s="16">
        <v>4.4514144453920768</v>
      </c>
      <c r="DD46" s="6">
        <v>8888147</v>
      </c>
      <c r="DE46" s="3">
        <v>352</v>
      </c>
      <c r="DF46" s="16">
        <v>3.9603305390876189</v>
      </c>
      <c r="DJ46" s="6">
        <v>8891730</v>
      </c>
      <c r="DK46" s="3">
        <v>311</v>
      </c>
      <c r="DL46" s="16">
        <v>3.4976320693498342</v>
      </c>
      <c r="DP46" s="6">
        <v>8891258</v>
      </c>
      <c r="DQ46" s="3">
        <v>287</v>
      </c>
      <c r="DR46" s="16">
        <v>3.2278896867012521</v>
      </c>
      <c r="DV46" s="6">
        <v>8882000</v>
      </c>
      <c r="DW46" s="3">
        <v>360</v>
      </c>
      <c r="DX46" s="16">
        <f t="shared" si="0"/>
        <v>4.0531411844179237</v>
      </c>
    </row>
    <row r="47" spans="1:128" x14ac:dyDescent="0.3">
      <c r="A47" s="3" t="s">
        <v>83</v>
      </c>
      <c r="B47" s="3" t="s">
        <v>67</v>
      </c>
      <c r="F47" s="4">
        <v>1821204</v>
      </c>
      <c r="G47" s="3">
        <v>160</v>
      </c>
      <c r="H47" s="16">
        <v>8.7853969132507945</v>
      </c>
      <c r="L47" s="4">
        <v>1831690</v>
      </c>
      <c r="M47" s="3">
        <v>128</v>
      </c>
      <c r="N47" s="16">
        <v>6.9880820444507528</v>
      </c>
      <c r="R47" s="4">
        <v>1855309</v>
      </c>
      <c r="S47" s="3">
        <v>160</v>
      </c>
      <c r="T47" s="16">
        <v>8.6239003853266478</v>
      </c>
      <c r="X47" s="4">
        <v>1877574</v>
      </c>
      <c r="Y47" s="3">
        <v>159</v>
      </c>
      <c r="Z47" s="16">
        <v>8.4683746153280772</v>
      </c>
      <c r="AD47" s="4">
        <v>1903808</v>
      </c>
      <c r="AE47" s="3">
        <v>169</v>
      </c>
      <c r="AF47" s="16">
        <v>8.8769455743436314</v>
      </c>
      <c r="AJ47" s="4">
        <v>1932274</v>
      </c>
      <c r="AK47" s="3">
        <v>151</v>
      </c>
      <c r="AL47" s="16">
        <v>7.8146267040802702</v>
      </c>
      <c r="AP47" s="4">
        <v>1962137</v>
      </c>
      <c r="AQ47" s="3">
        <v>131</v>
      </c>
      <c r="AR47" s="16">
        <v>6.6763941559636262</v>
      </c>
      <c r="AV47" s="4">
        <v>1990070</v>
      </c>
      <c r="AW47" s="3">
        <v>157</v>
      </c>
      <c r="AX47" s="16">
        <v>7.8891697276980199</v>
      </c>
      <c r="BB47" s="4">
        <v>2010662</v>
      </c>
      <c r="BC47" s="3">
        <v>151</v>
      </c>
      <c r="BD47" s="16">
        <v>7.5099643798908016</v>
      </c>
      <c r="BH47" s="4">
        <v>2036802</v>
      </c>
      <c r="BI47" s="3">
        <v>170</v>
      </c>
      <c r="BJ47" s="16">
        <v>8.3464175702891108</v>
      </c>
      <c r="BN47" s="6">
        <v>2064614</v>
      </c>
      <c r="BO47" s="3">
        <v>149</v>
      </c>
      <c r="BP47" s="16">
        <v>7.2168453764238736</v>
      </c>
      <c r="BT47" s="6">
        <v>2080707</v>
      </c>
      <c r="BU47" s="3">
        <v>147</v>
      </c>
      <c r="BV47" s="16">
        <v>7.064906303482422</v>
      </c>
      <c r="BZ47" s="6">
        <v>2087715</v>
      </c>
      <c r="CA47" s="3">
        <v>128</v>
      </c>
      <c r="CB47" s="16">
        <v>6.1311050598381476</v>
      </c>
      <c r="CF47" s="6">
        <v>2092833</v>
      </c>
      <c r="CG47" s="3">
        <v>134</v>
      </c>
      <c r="CH47" s="16">
        <v>6.402804237127377</v>
      </c>
      <c r="CL47" s="6">
        <v>2090236</v>
      </c>
      <c r="CM47" s="3">
        <v>135</v>
      </c>
      <c r="CN47" s="16">
        <v>6.4586008469856999</v>
      </c>
      <c r="CR47" s="6">
        <v>2090071</v>
      </c>
      <c r="CS47" s="3">
        <v>157</v>
      </c>
      <c r="CT47" s="16">
        <v>7.511706540112753</v>
      </c>
      <c r="CX47" s="6">
        <v>2092555</v>
      </c>
      <c r="CY47" s="3">
        <v>185</v>
      </c>
      <c r="CZ47" s="16">
        <v>8.840866787252903</v>
      </c>
      <c r="DD47" s="6">
        <v>2092844</v>
      </c>
      <c r="DE47" s="3">
        <v>173</v>
      </c>
      <c r="DF47" s="16">
        <v>8.2662635151019366</v>
      </c>
      <c r="DJ47" s="6">
        <v>2093754</v>
      </c>
      <c r="DK47" s="3">
        <v>215</v>
      </c>
      <c r="DL47" s="16">
        <v>10.268637098723154</v>
      </c>
      <c r="DP47" s="6">
        <v>2099634</v>
      </c>
      <c r="DQ47" s="3">
        <v>230</v>
      </c>
      <c r="DR47" s="16">
        <v>10.954290128660519</v>
      </c>
      <c r="DV47" s="6">
        <v>2097000</v>
      </c>
      <c r="DW47" s="3">
        <v>213</v>
      </c>
      <c r="DX47" s="16">
        <f t="shared" si="0"/>
        <v>10.157367668097283</v>
      </c>
    </row>
    <row r="48" spans="1:128" x14ac:dyDescent="0.3">
      <c r="A48" s="3" t="s">
        <v>84</v>
      </c>
      <c r="B48" s="3" t="s">
        <v>67</v>
      </c>
      <c r="F48" s="4">
        <v>19001780</v>
      </c>
      <c r="G48" s="3">
        <v>982</v>
      </c>
      <c r="H48" s="16">
        <v>5.1679368985431893</v>
      </c>
      <c r="L48" s="4">
        <v>19082838</v>
      </c>
      <c r="M48" s="3">
        <v>1029</v>
      </c>
      <c r="N48" s="16">
        <v>5.3922797017927833</v>
      </c>
      <c r="R48" s="4">
        <v>19137800</v>
      </c>
      <c r="S48" s="3">
        <v>919</v>
      </c>
      <c r="T48" s="16">
        <v>4.8020148606422897</v>
      </c>
      <c r="X48" s="4">
        <v>19175939</v>
      </c>
      <c r="Y48" s="3">
        <v>946</v>
      </c>
      <c r="Z48" s="16">
        <v>4.9332655887151082</v>
      </c>
      <c r="AD48" s="4">
        <v>19171567</v>
      </c>
      <c r="AE48" s="3">
        <v>848</v>
      </c>
      <c r="AF48" s="16">
        <v>4.4232169441339879</v>
      </c>
      <c r="AJ48" s="4">
        <v>19132610</v>
      </c>
      <c r="AK48" s="3">
        <v>879</v>
      </c>
      <c r="AL48" s="16">
        <v>4.5942503401260986</v>
      </c>
      <c r="AP48" s="4">
        <v>19104631</v>
      </c>
      <c r="AQ48" s="3">
        <v>932</v>
      </c>
      <c r="AR48" s="16">
        <v>4.8783983317971442</v>
      </c>
      <c r="AV48" s="4">
        <v>19132335</v>
      </c>
      <c r="AW48" s="3">
        <v>826</v>
      </c>
      <c r="AX48" s="16">
        <v>4.3172984374358911</v>
      </c>
      <c r="BB48" s="4">
        <v>19212436</v>
      </c>
      <c r="BC48" s="3">
        <v>858</v>
      </c>
      <c r="BD48" s="16">
        <v>4.4658574269290989</v>
      </c>
      <c r="BH48" s="4">
        <v>19307066</v>
      </c>
      <c r="BI48" s="3">
        <v>824</v>
      </c>
      <c r="BJ48" s="16">
        <v>4.2678675258063548</v>
      </c>
      <c r="BN48" s="6">
        <v>19399956</v>
      </c>
      <c r="BO48" s="3">
        <v>879</v>
      </c>
      <c r="BP48" s="16">
        <v>4.5309381114060256</v>
      </c>
      <c r="BT48" s="6">
        <v>19499921</v>
      </c>
      <c r="BU48" s="3">
        <v>808</v>
      </c>
      <c r="BV48" s="16">
        <v>4.1436065305085084</v>
      </c>
      <c r="BZ48" s="6">
        <v>19574362</v>
      </c>
      <c r="CA48" s="3">
        <v>714</v>
      </c>
      <c r="CB48" s="16">
        <v>3.6476284642125245</v>
      </c>
      <c r="CF48" s="6">
        <v>19626488</v>
      </c>
      <c r="CG48" s="3">
        <v>671</v>
      </c>
      <c r="CH48" s="16">
        <v>3.4188490574574524</v>
      </c>
      <c r="CL48" s="6">
        <v>19653431</v>
      </c>
      <c r="CM48" s="3">
        <v>662</v>
      </c>
      <c r="CN48" s="16">
        <v>3.3683686069877568</v>
      </c>
      <c r="CR48" s="6">
        <v>19657321</v>
      </c>
      <c r="CS48" s="3">
        <v>671</v>
      </c>
      <c r="CT48" s="16">
        <v>3.4134865071389946</v>
      </c>
      <c r="CX48" s="6">
        <v>19636391</v>
      </c>
      <c r="CY48" s="3">
        <v>696</v>
      </c>
      <c r="CZ48" s="16">
        <v>3.5444395052023561</v>
      </c>
      <c r="DD48" s="6">
        <v>19593849</v>
      </c>
      <c r="DE48" s="3">
        <v>577</v>
      </c>
      <c r="DF48" s="16">
        <v>2.9448017079237467</v>
      </c>
      <c r="DJ48" s="6">
        <v>19544098</v>
      </c>
      <c r="DK48" s="3">
        <v>611</v>
      </c>
      <c r="DL48" s="16">
        <v>3.1262634888547938</v>
      </c>
      <c r="DP48" s="6">
        <v>19463131</v>
      </c>
      <c r="DQ48" s="3">
        <v>601</v>
      </c>
      <c r="DR48" s="16">
        <v>3.0878896103612514</v>
      </c>
      <c r="DV48" s="6">
        <v>20201249</v>
      </c>
      <c r="DW48" s="3">
        <v>854</v>
      </c>
      <c r="DX48" s="16">
        <f t="shared" si="0"/>
        <v>4.2274613812244981</v>
      </c>
    </row>
    <row r="49" spans="1:130" x14ac:dyDescent="0.3">
      <c r="A49" s="3" t="s">
        <v>85</v>
      </c>
      <c r="B49" s="3" t="s">
        <v>67</v>
      </c>
      <c r="F49" s="4">
        <v>3429708</v>
      </c>
      <c r="G49" s="3">
        <v>86</v>
      </c>
      <c r="H49" s="16">
        <v>2.5075020963883805</v>
      </c>
      <c r="L49" s="4">
        <v>3467937</v>
      </c>
      <c r="M49" s="3">
        <v>100</v>
      </c>
      <c r="N49" s="16">
        <v>2.8835587267012057</v>
      </c>
      <c r="R49" s="4">
        <v>3513424</v>
      </c>
      <c r="S49" s="3">
        <v>104</v>
      </c>
      <c r="T49" s="16">
        <v>2.9600754136136147</v>
      </c>
      <c r="X49" s="4">
        <v>3547376</v>
      </c>
      <c r="Y49" s="3">
        <v>91</v>
      </c>
      <c r="Z49" s="16">
        <v>2.5652764184005306</v>
      </c>
      <c r="AD49" s="4">
        <v>3569463</v>
      </c>
      <c r="AE49" s="3">
        <v>110</v>
      </c>
      <c r="AF49" s="16">
        <v>3.081696042233804</v>
      </c>
      <c r="AJ49" s="4">
        <v>3613202</v>
      </c>
      <c r="AK49" s="3">
        <v>100</v>
      </c>
      <c r="AL49" s="16">
        <v>2.7676282698836103</v>
      </c>
      <c r="AP49" s="4">
        <v>3670883</v>
      </c>
      <c r="AQ49" s="3">
        <v>112</v>
      </c>
      <c r="AR49" s="16">
        <v>3.0510370393172432</v>
      </c>
      <c r="AV49" s="4">
        <v>3722417</v>
      </c>
      <c r="AW49" s="3">
        <v>78</v>
      </c>
      <c r="AX49" s="16">
        <v>2.0954127385513228</v>
      </c>
      <c r="BB49" s="4">
        <v>3768748</v>
      </c>
      <c r="BC49" s="3">
        <v>102</v>
      </c>
      <c r="BD49" s="16">
        <v>2.7064690979603836</v>
      </c>
      <c r="BH49" s="4">
        <v>3808600</v>
      </c>
      <c r="BI49" s="3">
        <v>102</v>
      </c>
      <c r="BJ49" s="16">
        <v>2.6781494512419259</v>
      </c>
      <c r="BN49" s="6">
        <v>3837614</v>
      </c>
      <c r="BO49" s="3">
        <v>115</v>
      </c>
      <c r="BP49" s="16">
        <v>2.996653649898088</v>
      </c>
      <c r="BT49" s="6">
        <v>3872672</v>
      </c>
      <c r="BU49" s="3">
        <v>107</v>
      </c>
      <c r="BV49" s="16">
        <v>2.762950231777956</v>
      </c>
      <c r="BZ49" s="6">
        <v>3900102</v>
      </c>
      <c r="CA49" s="3">
        <v>109</v>
      </c>
      <c r="CB49" s="16">
        <v>2.7947987001365604</v>
      </c>
      <c r="CF49" s="6">
        <v>3924110</v>
      </c>
      <c r="CG49" s="3">
        <v>89</v>
      </c>
      <c r="CH49" s="16">
        <v>2.2680302030269286</v>
      </c>
      <c r="CL49" s="6">
        <v>3965447</v>
      </c>
      <c r="CM49" s="3">
        <v>99</v>
      </c>
      <c r="CN49" s="16">
        <v>2.4965659609118469</v>
      </c>
      <c r="CR49" s="6">
        <v>4018542</v>
      </c>
      <c r="CS49" s="3">
        <v>138</v>
      </c>
      <c r="CT49" s="16">
        <v>3.434081316059407</v>
      </c>
      <c r="CX49" s="6">
        <v>4093271</v>
      </c>
      <c r="CY49" s="3">
        <v>129</v>
      </c>
      <c r="CZ49" s="16">
        <v>3.1515137893386487</v>
      </c>
      <c r="DD49" s="6">
        <v>4147294</v>
      </c>
      <c r="DE49" s="3">
        <v>127</v>
      </c>
      <c r="DF49" s="16">
        <v>3.062237690407287</v>
      </c>
      <c r="DJ49" s="6">
        <v>4183538</v>
      </c>
      <c r="DK49" s="3">
        <v>102</v>
      </c>
      <c r="DL49" s="16">
        <v>2.4381277282529763</v>
      </c>
      <c r="DP49" s="6">
        <v>4216116</v>
      </c>
      <c r="DQ49" s="3">
        <v>126</v>
      </c>
      <c r="DR49" s="16">
        <v>2.9885325735819412</v>
      </c>
      <c r="DV49" s="6">
        <v>4218000</v>
      </c>
      <c r="DW49" s="3">
        <v>154</v>
      </c>
      <c r="DX49" s="16">
        <f t="shared" si="0"/>
        <v>3.6510194404931249</v>
      </c>
    </row>
    <row r="50" spans="1:130" x14ac:dyDescent="0.3">
      <c r="A50" s="3" t="s">
        <v>86</v>
      </c>
      <c r="B50" s="3" t="s">
        <v>67</v>
      </c>
      <c r="F50" s="4">
        <v>12284173</v>
      </c>
      <c r="G50" s="3">
        <v>645</v>
      </c>
      <c r="H50" s="16">
        <v>5.2506587134518536</v>
      </c>
      <c r="L50" s="4">
        <v>12298970</v>
      </c>
      <c r="M50" s="3">
        <v>635</v>
      </c>
      <c r="N50" s="16">
        <v>5.16303397764203</v>
      </c>
      <c r="R50" s="4">
        <v>12331031</v>
      </c>
      <c r="S50" s="3">
        <v>634</v>
      </c>
      <c r="T50" s="16">
        <v>5.1415003335892999</v>
      </c>
      <c r="X50" s="4">
        <v>12374658</v>
      </c>
      <c r="Y50" s="3">
        <v>667</v>
      </c>
      <c r="Z50" s="16">
        <v>5.3900479512241875</v>
      </c>
      <c r="AD50" s="4">
        <v>12410722</v>
      </c>
      <c r="AE50" s="3">
        <v>677</v>
      </c>
      <c r="AF50" s="16">
        <v>5.4549606380676314</v>
      </c>
      <c r="AJ50" s="4">
        <v>12449990</v>
      </c>
      <c r="AK50" s="3">
        <v>741</v>
      </c>
      <c r="AL50" s="16">
        <v>5.9518120094875577</v>
      </c>
      <c r="AP50" s="4">
        <v>12510809</v>
      </c>
      <c r="AQ50" s="3">
        <v>761</v>
      </c>
      <c r="AR50" s="16">
        <v>6.0827401329522335</v>
      </c>
      <c r="AV50" s="4">
        <v>12563937</v>
      </c>
      <c r="AW50" s="3">
        <v>740</v>
      </c>
      <c r="AX50" s="16">
        <v>5.8898735324763249</v>
      </c>
      <c r="BB50" s="4">
        <v>12612285</v>
      </c>
      <c r="BC50" s="3">
        <v>683</v>
      </c>
      <c r="BD50" s="16">
        <v>5.4153549495591005</v>
      </c>
      <c r="BH50" s="4">
        <v>12666858</v>
      </c>
      <c r="BI50" s="3">
        <v>644</v>
      </c>
      <c r="BJ50" s="16">
        <v>5.0841337291378812</v>
      </c>
      <c r="BN50" s="6">
        <v>12711406</v>
      </c>
      <c r="BO50" s="3">
        <v>676</v>
      </c>
      <c r="BP50" s="16">
        <v>5.3180584429448636</v>
      </c>
      <c r="BT50" s="6">
        <v>12747052</v>
      </c>
      <c r="BU50" s="3">
        <v>678</v>
      </c>
      <c r="BV50" s="16">
        <v>5.3188768665884476</v>
      </c>
      <c r="BZ50" s="6">
        <v>12769123</v>
      </c>
      <c r="CA50" s="3">
        <v>690</v>
      </c>
      <c r="CB50" s="16">
        <v>5.4036600634201744</v>
      </c>
      <c r="CF50" s="6">
        <v>12779538</v>
      </c>
      <c r="CG50" s="3">
        <v>624</v>
      </c>
      <c r="CH50" s="16">
        <v>4.8828056225506744</v>
      </c>
      <c r="CL50" s="6">
        <v>12792392</v>
      </c>
      <c r="CM50" s="3">
        <v>620</v>
      </c>
      <c r="CN50" s="16">
        <v>4.8466307161319007</v>
      </c>
      <c r="CR50" s="6">
        <v>12789838</v>
      </c>
      <c r="CS50" s="3">
        <v>673</v>
      </c>
      <c r="CT50" s="16">
        <v>5.2619900267696904</v>
      </c>
      <c r="CX50" s="6">
        <v>12788468</v>
      </c>
      <c r="CY50" s="3">
        <v>723</v>
      </c>
      <c r="CZ50" s="16">
        <v>5.6535309780655503</v>
      </c>
      <c r="DD50" s="6">
        <v>12794679</v>
      </c>
      <c r="DE50" s="3">
        <v>791</v>
      </c>
      <c r="DF50" s="16">
        <v>6.182257483755552</v>
      </c>
      <c r="DJ50" s="6">
        <v>12809107</v>
      </c>
      <c r="DK50" s="3">
        <v>781</v>
      </c>
      <c r="DL50" s="16">
        <v>6.0972244200942347</v>
      </c>
      <c r="DP50" s="6">
        <v>12798883</v>
      </c>
      <c r="DQ50" s="3">
        <v>722</v>
      </c>
      <c r="DR50" s="16">
        <v>5.6411172756247563</v>
      </c>
      <c r="DV50" s="6">
        <v>12800000</v>
      </c>
      <c r="DW50" s="3">
        <v>982</v>
      </c>
      <c r="DX50" s="16">
        <f t="shared" si="0"/>
        <v>7.6718750000000009</v>
      </c>
    </row>
    <row r="51" spans="1:130" x14ac:dyDescent="0.3">
      <c r="A51" s="3" t="s">
        <v>87</v>
      </c>
      <c r="B51" s="3" t="s">
        <v>67</v>
      </c>
      <c r="F51" s="4">
        <v>1050268</v>
      </c>
      <c r="G51" s="3">
        <v>38</v>
      </c>
      <c r="H51" s="16">
        <v>3.6181241359348282</v>
      </c>
      <c r="L51" s="4">
        <v>1057142</v>
      </c>
      <c r="M51" s="3">
        <v>31</v>
      </c>
      <c r="N51" s="16">
        <v>2.9324348100822784</v>
      </c>
      <c r="R51" s="4">
        <v>1065995</v>
      </c>
      <c r="S51" s="3">
        <v>42</v>
      </c>
      <c r="T51" s="16">
        <v>3.939980956758709</v>
      </c>
      <c r="X51" s="4">
        <v>1071342</v>
      </c>
      <c r="Y51" s="3">
        <v>28</v>
      </c>
      <c r="Z51" s="16">
        <v>2.613544507729558</v>
      </c>
      <c r="AD51" s="4">
        <v>1074579</v>
      </c>
      <c r="AE51" s="3">
        <v>29</v>
      </c>
      <c r="AF51" s="16">
        <v>2.6987313171018603</v>
      </c>
      <c r="AJ51" s="4">
        <v>1067916</v>
      </c>
      <c r="AK51" s="3">
        <v>32</v>
      </c>
      <c r="AL51" s="16">
        <v>2.9964903606650708</v>
      </c>
      <c r="AP51" s="4">
        <v>1063096</v>
      </c>
      <c r="AQ51" s="3">
        <v>39</v>
      </c>
      <c r="AR51" s="16">
        <v>3.6685304055325201</v>
      </c>
      <c r="AV51" s="4">
        <v>1057315</v>
      </c>
      <c r="AW51" s="3">
        <v>23</v>
      </c>
      <c r="AX51" s="16">
        <v>2.1753214510339869</v>
      </c>
      <c r="BB51" s="4">
        <v>1055003</v>
      </c>
      <c r="BC51" s="3">
        <v>29</v>
      </c>
      <c r="BD51" s="16">
        <v>2.7488073493629877</v>
      </c>
      <c r="BH51" s="4">
        <v>1053646</v>
      </c>
      <c r="BI51" s="3">
        <v>30</v>
      </c>
      <c r="BJ51" s="16">
        <v>2.8472560992971072</v>
      </c>
      <c r="BN51" s="6">
        <v>1053994</v>
      </c>
      <c r="BO51" s="3">
        <v>27</v>
      </c>
      <c r="BP51" s="16">
        <v>2.561684411865722</v>
      </c>
      <c r="BT51" s="6">
        <v>1053829</v>
      </c>
      <c r="BU51" s="3">
        <v>19</v>
      </c>
      <c r="BV51" s="16">
        <v>1.8029490553021412</v>
      </c>
      <c r="BZ51" s="6">
        <v>1054893</v>
      </c>
      <c r="CA51" s="3">
        <v>30</v>
      </c>
      <c r="CB51" s="16">
        <v>2.8438903282133827</v>
      </c>
      <c r="CF51" s="6">
        <v>1055560</v>
      </c>
      <c r="CG51" s="3">
        <v>31</v>
      </c>
      <c r="CH51" s="16">
        <v>2.9368297396642542</v>
      </c>
      <c r="CL51" s="6">
        <v>1056511</v>
      </c>
      <c r="CM51" s="3">
        <v>27</v>
      </c>
      <c r="CN51" s="16">
        <v>2.5555815320427331</v>
      </c>
      <c r="CR51" s="6">
        <v>1056886</v>
      </c>
      <c r="CS51" s="3">
        <v>28</v>
      </c>
      <c r="CT51" s="16">
        <v>2.6492923550884391</v>
      </c>
      <c r="CX51" s="6">
        <v>1057816</v>
      </c>
      <c r="CY51" s="3">
        <v>25</v>
      </c>
      <c r="CZ51" s="16">
        <v>2.3633599794293145</v>
      </c>
      <c r="DD51" s="6">
        <v>1056554</v>
      </c>
      <c r="DE51" s="3">
        <v>19</v>
      </c>
      <c r="DF51" s="16">
        <v>1.7982989984421052</v>
      </c>
      <c r="DJ51" s="6">
        <v>1059338</v>
      </c>
      <c r="DK51" s="3">
        <v>16</v>
      </c>
      <c r="DL51" s="16">
        <v>1.510377235594305</v>
      </c>
      <c r="DP51" s="6">
        <v>1058158</v>
      </c>
      <c r="DQ51" s="3">
        <v>23</v>
      </c>
      <c r="DR51" s="16">
        <v>2.1735884433137587</v>
      </c>
      <c r="DV51" s="6">
        <v>1057125</v>
      </c>
      <c r="DW51" s="3">
        <v>29</v>
      </c>
      <c r="DX51" s="16">
        <f t="shared" si="0"/>
        <v>2.7432895825943007</v>
      </c>
    </row>
    <row r="52" spans="1:130" x14ac:dyDescent="0.3">
      <c r="A52" s="3" t="s">
        <v>88</v>
      </c>
      <c r="B52" s="3" t="s">
        <v>67</v>
      </c>
      <c r="F52" s="4">
        <v>609618</v>
      </c>
      <c r="G52" s="3">
        <v>11</v>
      </c>
      <c r="H52" s="16">
        <v>1.8044086624738769</v>
      </c>
      <c r="L52" s="4">
        <v>612223</v>
      </c>
      <c r="M52" s="3">
        <v>14</v>
      </c>
      <c r="N52" s="16">
        <v>2.2867484560364444</v>
      </c>
      <c r="R52" s="4">
        <v>615442</v>
      </c>
      <c r="T52" s="16"/>
      <c r="X52" s="4">
        <v>617858</v>
      </c>
      <c r="Y52" s="3">
        <v>11</v>
      </c>
      <c r="Z52" s="16">
        <v>1.7803443509673744</v>
      </c>
      <c r="AD52" s="4">
        <v>619920</v>
      </c>
      <c r="AE52" s="3">
        <v>10</v>
      </c>
      <c r="AF52" s="16">
        <v>1.6131113692089301</v>
      </c>
      <c r="AJ52" s="4">
        <v>621215</v>
      </c>
      <c r="AK52" s="3">
        <v>11</v>
      </c>
      <c r="AL52" s="16">
        <v>1.7707235015252367</v>
      </c>
      <c r="AP52" s="4">
        <v>622892</v>
      </c>
      <c r="AQ52" s="3">
        <v>13</v>
      </c>
      <c r="AR52" s="16">
        <v>2.0870391656980662</v>
      </c>
      <c r="AV52" s="4">
        <v>623481</v>
      </c>
      <c r="AW52" s="3">
        <v>13</v>
      </c>
      <c r="AX52" s="16">
        <v>2.0850675481690701</v>
      </c>
      <c r="BB52" s="4">
        <v>624151</v>
      </c>
      <c r="BC52" s="3">
        <v>16</v>
      </c>
      <c r="BD52" s="16">
        <v>2.5634822342670285</v>
      </c>
      <c r="BH52" s="4">
        <v>624817</v>
      </c>
      <c r="BJ52" s="16"/>
      <c r="BN52" s="6">
        <v>625886</v>
      </c>
      <c r="BP52" s="16"/>
      <c r="BT52" s="6">
        <v>627197</v>
      </c>
      <c r="BV52" s="16"/>
      <c r="BZ52" s="6">
        <v>626361</v>
      </c>
      <c r="CB52" s="16"/>
      <c r="CF52" s="6">
        <v>626603</v>
      </c>
      <c r="CH52" s="16"/>
      <c r="CL52" s="6">
        <v>625693</v>
      </c>
      <c r="CM52" s="3">
        <v>16</v>
      </c>
      <c r="CN52" s="16">
        <v>2.5571646158739187</v>
      </c>
      <c r="CR52" s="6">
        <v>625810</v>
      </c>
      <c r="CS52" s="3">
        <v>16</v>
      </c>
      <c r="CT52" s="16">
        <v>2.5566865342516101</v>
      </c>
      <c r="CX52" s="6">
        <v>624366</v>
      </c>
      <c r="CY52" s="3">
        <v>11</v>
      </c>
      <c r="CZ52" s="16">
        <v>1.7617871568919512</v>
      </c>
      <c r="DD52" s="6">
        <v>625132</v>
      </c>
      <c r="DE52" s="3">
        <v>15</v>
      </c>
      <c r="DF52" s="16">
        <v>2.399493227030451</v>
      </c>
      <c r="DJ52" s="6">
        <v>624802</v>
      </c>
      <c r="DK52" s="3">
        <v>14</v>
      </c>
      <c r="DL52" s="16">
        <v>2.2407098568826602</v>
      </c>
      <c r="DP52" s="6">
        <v>624046</v>
      </c>
      <c r="DQ52" s="3">
        <v>11</v>
      </c>
      <c r="DR52" s="16">
        <v>1.7626905708874026</v>
      </c>
      <c r="DV52" s="6">
        <v>623989</v>
      </c>
      <c r="DW52" s="3">
        <v>14</v>
      </c>
      <c r="DX52" s="16">
        <f t="shared" si="0"/>
        <v>2.243629294747183</v>
      </c>
    </row>
    <row r="53" spans="1:130" x14ac:dyDescent="0.3">
      <c r="A53" s="3" t="s">
        <v>89</v>
      </c>
      <c r="B53" s="3" t="s">
        <v>67</v>
      </c>
      <c r="F53" s="4">
        <v>7105817</v>
      </c>
      <c r="G53" s="3">
        <v>432</v>
      </c>
      <c r="H53" s="16">
        <v>6.0795261121979358</v>
      </c>
      <c r="L53" s="4">
        <v>7198362</v>
      </c>
      <c r="M53" s="3">
        <v>403</v>
      </c>
      <c r="N53" s="16">
        <v>5.59849588003493</v>
      </c>
      <c r="R53" s="4">
        <v>7286873</v>
      </c>
      <c r="S53" s="3">
        <v>390</v>
      </c>
      <c r="T53" s="16">
        <v>5.3520899842772058</v>
      </c>
      <c r="X53" s="4">
        <v>7366977</v>
      </c>
      <c r="Y53" s="3">
        <v>458</v>
      </c>
      <c r="Z53" s="16">
        <v>6.2169326712978741</v>
      </c>
      <c r="AD53" s="4">
        <v>7475575</v>
      </c>
      <c r="AE53" s="3">
        <v>404</v>
      </c>
      <c r="AF53" s="16">
        <v>5.4042665614350733</v>
      </c>
      <c r="AJ53" s="4">
        <v>7577105</v>
      </c>
      <c r="AK53" s="3">
        <v>487</v>
      </c>
      <c r="AL53" s="16">
        <v>6.4272568480969978</v>
      </c>
      <c r="AP53" s="4">
        <v>7673725</v>
      </c>
      <c r="AQ53" s="3">
        <v>407</v>
      </c>
      <c r="AR53" s="16">
        <v>5.303812685494985</v>
      </c>
      <c r="AV53" s="4">
        <v>7751000</v>
      </c>
      <c r="AW53" s="3">
        <v>417</v>
      </c>
      <c r="AX53" s="16">
        <v>5.3799509740678619</v>
      </c>
      <c r="BB53" s="4">
        <v>7833496</v>
      </c>
      <c r="BC53" s="3">
        <v>373</v>
      </c>
      <c r="BD53" s="16">
        <v>4.7616032484091395</v>
      </c>
      <c r="BH53" s="4">
        <v>7925937</v>
      </c>
      <c r="BI53" s="3">
        <v>382</v>
      </c>
      <c r="BJ53" s="16">
        <v>4.8196194342700425</v>
      </c>
      <c r="BN53" s="6">
        <v>8024004</v>
      </c>
      <c r="BO53" s="3">
        <v>369</v>
      </c>
      <c r="BP53" s="16">
        <v>4.5987015958616171</v>
      </c>
      <c r="BT53" s="6">
        <v>8102437</v>
      </c>
      <c r="BU53" s="3">
        <v>334</v>
      </c>
      <c r="BV53" s="16">
        <v>4.1222165627452583</v>
      </c>
      <c r="BZ53" s="6">
        <v>8187456</v>
      </c>
      <c r="CA53" s="3">
        <v>333</v>
      </c>
      <c r="CB53" s="16">
        <v>4.0671974298243558</v>
      </c>
      <c r="CF53" s="6">
        <v>8255861</v>
      </c>
      <c r="CG53" s="3">
        <v>330</v>
      </c>
      <c r="CH53" s="16">
        <v>3.9971603204075263</v>
      </c>
      <c r="CL53" s="6">
        <v>8315430</v>
      </c>
      <c r="CM53" s="3">
        <v>339</v>
      </c>
      <c r="CN53" s="16">
        <v>4.0767585079785409</v>
      </c>
      <c r="CR53" s="6">
        <v>8367303</v>
      </c>
      <c r="CS53" s="3">
        <v>374</v>
      </c>
      <c r="CT53" s="16">
        <v>4.4697795693546647</v>
      </c>
      <c r="CX53" s="6">
        <v>8417651</v>
      </c>
      <c r="CY53" s="3">
        <v>455</v>
      </c>
      <c r="CZ53" s="16">
        <v>5.4053084405613872</v>
      </c>
      <c r="DD53" s="6">
        <v>8471011</v>
      </c>
      <c r="DE53" s="3">
        <v>455</v>
      </c>
      <c r="DF53" s="16">
        <v>5.3712596996981823</v>
      </c>
      <c r="DJ53" s="6">
        <v>8510920</v>
      </c>
      <c r="DK53" s="3">
        <v>425</v>
      </c>
      <c r="DL53" s="16">
        <v>4.9935847123460215</v>
      </c>
      <c r="DP53" s="6">
        <v>8556642</v>
      </c>
      <c r="DQ53" s="3">
        <v>436</v>
      </c>
      <c r="DR53" s="16">
        <v>5.0954568392600743</v>
      </c>
      <c r="DV53" s="6">
        <v>8631393</v>
      </c>
      <c r="DW53" s="3">
        <v>526</v>
      </c>
      <c r="DX53" s="16">
        <f t="shared" si="0"/>
        <v>6.0940337208605841</v>
      </c>
    </row>
    <row r="54" spans="1:130" x14ac:dyDescent="0.3">
      <c r="A54" s="3" t="s">
        <v>90</v>
      </c>
      <c r="B54" s="3" t="s">
        <v>67</v>
      </c>
      <c r="F54" s="4">
        <v>5910512</v>
      </c>
      <c r="G54" s="3">
        <v>197</v>
      </c>
      <c r="H54" s="16">
        <v>3.3330445822629242</v>
      </c>
      <c r="L54" s="4">
        <v>5985722</v>
      </c>
      <c r="M54" s="3">
        <v>193</v>
      </c>
      <c r="N54" s="16">
        <v>3.2243395199442944</v>
      </c>
      <c r="R54" s="4">
        <v>6052349</v>
      </c>
      <c r="S54" s="3">
        <v>208</v>
      </c>
      <c r="T54" s="16">
        <v>3.4366821873622952</v>
      </c>
      <c r="X54" s="4">
        <v>6104115</v>
      </c>
      <c r="Y54" s="3">
        <v>215</v>
      </c>
      <c r="Z54" s="16">
        <v>3.5222141129385665</v>
      </c>
      <c r="AD54" s="4">
        <v>6178645</v>
      </c>
      <c r="AE54" s="3">
        <v>214</v>
      </c>
      <c r="AF54" s="16">
        <v>3.4635425728456641</v>
      </c>
      <c r="AJ54" s="4">
        <v>6257305</v>
      </c>
      <c r="AK54" s="3">
        <v>226</v>
      </c>
      <c r="AL54" s="16">
        <v>3.6117785532269879</v>
      </c>
      <c r="AP54" s="4">
        <v>6370753</v>
      </c>
      <c r="AQ54" s="3">
        <v>214</v>
      </c>
      <c r="AR54" s="16">
        <v>3.359100564721313</v>
      </c>
      <c r="AV54" s="4">
        <v>6461587</v>
      </c>
      <c r="AW54" s="3">
        <v>199</v>
      </c>
      <c r="AX54" s="16">
        <v>3.0797387700575727</v>
      </c>
      <c r="BB54" s="4">
        <v>6562231</v>
      </c>
      <c r="BC54" s="3">
        <v>219</v>
      </c>
      <c r="BD54" s="16">
        <v>3.3372796538250484</v>
      </c>
      <c r="BH54" s="4">
        <v>6667426</v>
      </c>
      <c r="BI54" s="3">
        <v>190</v>
      </c>
      <c r="BJ54" s="16">
        <v>2.8496754219694376</v>
      </c>
      <c r="BN54" s="6">
        <v>6743009</v>
      </c>
      <c r="BO54" s="3">
        <v>175</v>
      </c>
      <c r="BP54" s="16">
        <v>2.5952805342540697</v>
      </c>
      <c r="BT54" s="6">
        <v>6827479</v>
      </c>
      <c r="BU54" s="3">
        <v>176</v>
      </c>
      <c r="BV54" s="16">
        <v>2.5778182547320907</v>
      </c>
      <c r="BZ54" s="6">
        <v>6898599</v>
      </c>
      <c r="CA54" s="3">
        <v>225</v>
      </c>
      <c r="CB54" s="16">
        <v>3.2615317979781113</v>
      </c>
      <c r="CF54" s="6">
        <v>6966252</v>
      </c>
      <c r="CG54" s="3">
        <v>201</v>
      </c>
      <c r="CH54" s="16">
        <v>2.8853392039219941</v>
      </c>
      <c r="CL54" s="6">
        <v>7057531</v>
      </c>
      <c r="CM54" s="3">
        <v>211</v>
      </c>
      <c r="CN54" s="16">
        <v>2.9897141082341685</v>
      </c>
      <c r="CR54" s="6">
        <v>7167287</v>
      </c>
      <c r="CS54" s="3">
        <v>239</v>
      </c>
      <c r="CT54" s="16">
        <v>3.3345950845836088</v>
      </c>
      <c r="CX54" s="6">
        <v>7299961</v>
      </c>
      <c r="CY54" s="3">
        <v>216</v>
      </c>
      <c r="CZ54" s="16">
        <v>2.9589199175173677</v>
      </c>
      <c r="DD54" s="6">
        <v>7427951</v>
      </c>
      <c r="DE54" s="3">
        <v>266</v>
      </c>
      <c r="DF54" s="16">
        <v>3.5810683188405523</v>
      </c>
      <c r="DJ54" s="6">
        <v>7526793</v>
      </c>
      <c r="DK54" s="3">
        <v>275</v>
      </c>
      <c r="DL54" s="16">
        <v>3.6536144942474169</v>
      </c>
      <c r="DP54" s="6">
        <v>7614024</v>
      </c>
      <c r="DQ54" s="3">
        <v>241</v>
      </c>
      <c r="DR54" s="16">
        <v>3.1652119825206753</v>
      </c>
      <c r="DV54" s="6">
        <v>7656200</v>
      </c>
      <c r="DW54" s="3">
        <v>313</v>
      </c>
      <c r="DX54" s="16">
        <f t="shared" si="0"/>
        <v>4.0881899636895591</v>
      </c>
    </row>
    <row r="55" spans="1:130" x14ac:dyDescent="0.3">
      <c r="A55" s="3" t="s">
        <v>91</v>
      </c>
      <c r="B55" s="3" t="s">
        <v>67</v>
      </c>
      <c r="F55" s="4">
        <v>5373999</v>
      </c>
      <c r="G55" s="3">
        <v>171</v>
      </c>
      <c r="H55" s="16">
        <v>3.1819879385909822</v>
      </c>
      <c r="L55" s="4">
        <v>5406835</v>
      </c>
      <c r="M55" s="3">
        <v>209</v>
      </c>
      <c r="N55" s="16">
        <v>3.8654776777911661</v>
      </c>
      <c r="R55" s="4">
        <v>5445162</v>
      </c>
      <c r="S55" s="3">
        <v>184</v>
      </c>
      <c r="T55" s="16">
        <v>3.3791464790211934</v>
      </c>
      <c r="X55" s="4">
        <v>5479203</v>
      </c>
      <c r="Y55" s="3">
        <v>193</v>
      </c>
      <c r="Z55" s="16">
        <v>3.522410102345177</v>
      </c>
      <c r="AD55" s="4">
        <v>5514026</v>
      </c>
      <c r="AE55" s="3">
        <v>151</v>
      </c>
      <c r="AF55" s="16">
        <v>2.7384709466368133</v>
      </c>
      <c r="AJ55" s="4">
        <v>5546166</v>
      </c>
      <c r="AK55" s="3">
        <v>231</v>
      </c>
      <c r="AL55" s="16">
        <v>4.1650394164184776</v>
      </c>
      <c r="AP55" s="4">
        <v>5577655</v>
      </c>
      <c r="AQ55" s="3">
        <v>191</v>
      </c>
      <c r="AR55" s="16">
        <v>3.4243781660930979</v>
      </c>
      <c r="AV55" s="4">
        <v>5610775</v>
      </c>
      <c r="AW55" s="3">
        <v>198</v>
      </c>
      <c r="AX55" s="16">
        <v>3.5289242573441282</v>
      </c>
      <c r="BB55" s="4">
        <v>5640996</v>
      </c>
      <c r="BC55" s="3">
        <v>151</v>
      </c>
      <c r="BD55" s="16">
        <v>2.6768322473548998</v>
      </c>
      <c r="BH55" s="4">
        <v>5669264</v>
      </c>
      <c r="BI55" s="3">
        <v>159</v>
      </c>
      <c r="BJ55" s="16">
        <v>2.804596857722625</v>
      </c>
      <c r="BN55" s="6">
        <v>5690538</v>
      </c>
      <c r="BO55" s="3">
        <v>158</v>
      </c>
      <c r="BP55" s="16">
        <v>2.7765388791007104</v>
      </c>
      <c r="BT55" s="6">
        <v>5705840</v>
      </c>
      <c r="BU55" s="3">
        <v>146</v>
      </c>
      <c r="BV55" s="16">
        <v>2.5587818796180755</v>
      </c>
      <c r="BZ55" s="6">
        <v>5720825</v>
      </c>
      <c r="CA55" s="3">
        <v>186</v>
      </c>
      <c r="CB55" s="16">
        <v>3.2512793172313437</v>
      </c>
      <c r="CF55" s="6">
        <v>5738012</v>
      </c>
      <c r="CG55" s="3">
        <v>174</v>
      </c>
      <c r="CH55" s="16">
        <v>3.0324091340345753</v>
      </c>
      <c r="CL55" s="6">
        <v>5753199</v>
      </c>
      <c r="CM55" s="3">
        <v>166</v>
      </c>
      <c r="CN55" s="16">
        <v>2.8853512628365543</v>
      </c>
      <c r="CR55" s="6">
        <v>5762927</v>
      </c>
      <c r="CS55" s="3">
        <v>243</v>
      </c>
      <c r="CT55" s="16">
        <v>4.2166072900107885</v>
      </c>
      <c r="CX55" s="6">
        <v>5775170</v>
      </c>
      <c r="CY55" s="3">
        <v>256</v>
      </c>
      <c r="CZ55" s="16">
        <v>4.4327699444345363</v>
      </c>
      <c r="DD55" s="6">
        <v>5793147</v>
      </c>
      <c r="DE55" s="3">
        <v>202</v>
      </c>
      <c r="DF55" s="16">
        <v>3.4868785480499631</v>
      </c>
      <c r="DJ55" s="6">
        <v>5809319</v>
      </c>
      <c r="DK55" s="3">
        <v>204</v>
      </c>
      <c r="DL55" s="16">
        <v>3.511599208099951</v>
      </c>
      <c r="DP55" s="6">
        <v>5824581</v>
      </c>
      <c r="DQ55" s="3">
        <v>226</v>
      </c>
      <c r="DR55" s="16">
        <v>3.8801074274698903</v>
      </c>
      <c r="DV55" s="6">
        <v>5893718</v>
      </c>
      <c r="DW55" s="3">
        <v>330</v>
      </c>
      <c r="DX55" s="16">
        <f t="shared" si="0"/>
        <v>5.5991820443394138</v>
      </c>
    </row>
    <row r="57" spans="1:130" x14ac:dyDescent="0.3">
      <c r="F57" s="4">
        <f>SUM(F31:F55)</f>
        <v>165660292</v>
      </c>
      <c r="G57" s="4">
        <f>SUM(G31:G55)</f>
        <v>9054</v>
      </c>
      <c r="H57" s="5">
        <f>(G57/F57)*100000</f>
        <v>5.4654014493708605</v>
      </c>
      <c r="L57" s="4">
        <f>SUM(L31:L55)</f>
        <v>167318826</v>
      </c>
      <c r="M57" s="4">
        <f>SUM(M31:M55)</f>
        <v>9457</v>
      </c>
      <c r="N57" s="5">
        <f>(M57/L57)*100000</f>
        <v>5.6520836453872798</v>
      </c>
      <c r="R57" s="4">
        <f>SUM(R31:R55)</f>
        <v>168783955</v>
      </c>
      <c r="S57" s="4">
        <f>SUM(S31:S55)</f>
        <v>9646</v>
      </c>
      <c r="T57" s="5">
        <f>(S57/R57)*100000</f>
        <v>5.7149982058424929</v>
      </c>
      <c r="X57" s="4">
        <f>SUM(X31:X55)</f>
        <v>170089752</v>
      </c>
      <c r="Y57" s="4">
        <f>SUM(Y31:Y55)</f>
        <v>9803</v>
      </c>
      <c r="Z57" s="5">
        <f>(Y57/X57)*100000</f>
        <v>5.76342776959308</v>
      </c>
      <c r="AD57" s="4">
        <f>SUM(AD31:AD55)</f>
        <v>171366625</v>
      </c>
      <c r="AE57" s="4">
        <f>SUM(AE31:AE55)</f>
        <v>9597</v>
      </c>
      <c r="AF57" s="5">
        <f>(AE57/AD57)*100000</f>
        <v>5.6002736822295471</v>
      </c>
      <c r="AJ57" s="4">
        <f>SUM(AJ31:AJ55)</f>
        <v>172545151</v>
      </c>
      <c r="AK57" s="4">
        <f>SUM(AK31:AK55)</f>
        <v>9948</v>
      </c>
      <c r="AL57" s="5">
        <f>(AK57/AJ57)*100000</f>
        <v>5.7654474451153952</v>
      </c>
      <c r="AP57" s="4">
        <f>SUM(AP31:AP55)</f>
        <v>173867006</v>
      </c>
      <c r="AQ57" s="4">
        <f>SUM(AQ31:AQ55)</f>
        <v>10094</v>
      </c>
      <c r="AR57" s="5">
        <f>(AQ57/AP57)*100000</f>
        <v>5.805586828820184</v>
      </c>
      <c r="AV57" s="4">
        <f>SUM(AV31:AV55)</f>
        <v>175107316</v>
      </c>
      <c r="AW57" s="4">
        <f>SUM(AW31:AW55)</f>
        <v>9658</v>
      </c>
      <c r="AX57" s="5">
        <f>(AW57/AV57)*100000</f>
        <v>5.5154748645681941</v>
      </c>
      <c r="BB57" s="4">
        <f>SUM(BB31:BB55)</f>
        <v>176466958</v>
      </c>
      <c r="BC57" s="4">
        <f>SUM(BC31:BC55)</f>
        <v>9269</v>
      </c>
      <c r="BD57" s="5">
        <f>(BC57/BB57)*100000</f>
        <v>5.2525413851130134</v>
      </c>
      <c r="BH57" s="4">
        <f>SUM(BH31:BH55)</f>
        <v>177771626</v>
      </c>
      <c r="BI57" s="4">
        <f>SUM(BI31:BI55)</f>
        <v>8693</v>
      </c>
      <c r="BJ57" s="5">
        <f>(BI57/BH57)*100000</f>
        <v>4.8899817117046567</v>
      </c>
      <c r="BN57" s="4">
        <f>SUM(BN31:BN55)</f>
        <v>179011177</v>
      </c>
      <c r="BO57" s="4">
        <f>SUM(BO31:BO55)</f>
        <v>8601</v>
      </c>
      <c r="BP57" s="5">
        <f>(BO57/BN57)*100000</f>
        <v>4.8047279193075187</v>
      </c>
      <c r="BT57" s="4">
        <f>SUM(BT31:BT55)</f>
        <v>180170673</v>
      </c>
      <c r="BU57" s="4">
        <f>SUM(BU31:BU55)</f>
        <v>8430</v>
      </c>
      <c r="BV57" s="5">
        <f>(BU57/BT57)*100000</f>
        <v>4.6788968812921068</v>
      </c>
      <c r="BZ57" s="4">
        <f>SUM(BZ31:BZ55)</f>
        <v>181278073</v>
      </c>
      <c r="CA57" s="4">
        <f>SUM(CA31:CA55)</f>
        <v>8593</v>
      </c>
      <c r="CB57" s="5">
        <f>(CA57/BZ57)*100000</f>
        <v>4.7402313240609084</v>
      </c>
      <c r="CF57" s="4">
        <f>SUM(CF31:CF55)</f>
        <v>182285006</v>
      </c>
      <c r="CG57" s="4">
        <f>SUM(CG31:CG55)</f>
        <v>8180</v>
      </c>
      <c r="CH57" s="5">
        <f>(CG57/CF57)*100000</f>
        <v>4.4874782515024849</v>
      </c>
      <c r="CL57" s="4">
        <f>SUM(CL31:CL55)</f>
        <v>183343857</v>
      </c>
      <c r="CM57" s="4">
        <f>SUM(CM31:CM55)</f>
        <v>8022</v>
      </c>
      <c r="CN57" s="5">
        <f>(CM57/CL57)*100000</f>
        <v>4.3753852085701466</v>
      </c>
      <c r="CR57" s="4">
        <f>SUM(CR31:CR55)</f>
        <v>184333900</v>
      </c>
      <c r="CS57" s="4">
        <f>SUM(CS31:CS55)</f>
        <v>9020</v>
      </c>
      <c r="CT57" s="5">
        <f>(CS57/CR57)*100000</f>
        <v>4.8932941797466452</v>
      </c>
      <c r="CX57" s="4">
        <f>SUM(CX31:CX55)</f>
        <v>185295253</v>
      </c>
      <c r="CY57" s="4">
        <f>SUM(CY31:CY55)</f>
        <v>9690</v>
      </c>
      <c r="CZ57" s="5">
        <f>(CY57/CX57)*100000</f>
        <v>5.2294917668506056</v>
      </c>
      <c r="DD57" s="4">
        <f>SUM(DD31:DD55)</f>
        <v>186145871</v>
      </c>
      <c r="DE57" s="4">
        <f>SUM(DE31:DE55)</f>
        <v>9563</v>
      </c>
      <c r="DF57" s="5">
        <f>(DE57/DD57)*100000</f>
        <v>5.1373688541283844</v>
      </c>
      <c r="DJ57" s="4">
        <f>SUM(DJ31:DJ55)</f>
        <v>186810800</v>
      </c>
      <c r="DK57" s="4">
        <f>SUM(DK31:DK55)</f>
        <v>9203</v>
      </c>
      <c r="DL57" s="5">
        <f>(DK57/DJ57)*100000</f>
        <v>4.926374706387425</v>
      </c>
      <c r="DP57" s="4">
        <f>SUM(DP31:DP55)</f>
        <v>187259763</v>
      </c>
      <c r="DQ57" s="4">
        <f>SUM(DQ31:DQ55)</f>
        <v>9111</v>
      </c>
      <c r="DR57" s="5">
        <f>(DQ57/DP57)*100000</f>
        <v>4.86543390530725</v>
      </c>
      <c r="DV57" s="4">
        <f>SUM(DV31:DV55)</f>
        <v>189418128</v>
      </c>
      <c r="DW57" s="4">
        <f>SUM(DW31:DW55)</f>
        <v>11737</v>
      </c>
      <c r="DX57" s="5">
        <f>(DW57/DV57)*100000</f>
        <v>6.1963446286408237</v>
      </c>
      <c r="DZ57" s="5">
        <f>AVERAGE(H57,N57,T57,Z57,AF57,AL57,AR57,AX57,BD57,BJ57,BP57,BV57,CB57,CH57,CN57,CT57,CZ57,DF57,DL57,DR57,DX57)</f>
        <v>5.226678314930429</v>
      </c>
    </row>
    <row r="59" spans="1:130" x14ac:dyDescent="0.3">
      <c r="DZ59" s="17">
        <f>(DZ27-DZ57)/DZ57</f>
        <v>0.11949614110886068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Blue vs. Red</vt:lpstr>
      <vt:lpstr>Minus county with largest city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Kylie Murdock</dc:creator>
  <cp:lastModifiedBy>Kylie Murdock</cp:lastModifiedBy>
  <dcterms:created xsi:type="dcterms:W3CDTF">2023-01-23T15:34:13Z</dcterms:created>
  <dcterms:modified xsi:type="dcterms:W3CDTF">2023-01-23T15:39:53Z</dcterms:modified>
</cp:coreProperties>
</file>